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0730" windowHeight="11760" activeTab="4"/>
  </bookViews>
  <sheets>
    <sheet name="bieu 12 (PL05)" sheetId="3" r:id="rId1"/>
    <sheet name="bieu 19 (PL 06)" sheetId="8" r:id="rId2"/>
    <sheet name="bieu 13( PL 07)" sheetId="5" r:id="rId3"/>
    <sheet name="bieu 14(PL08)" sheetId="4" r:id="rId4"/>
    <sheet name="bieu 17(09)" sheetId="7" r:id="rId5"/>
    <sheet name="bieu tong thu(PL10)" sheetId="9" r:id="rId6"/>
    <sheet name="bieu xa (PL11)" sheetId="6" r:id="rId7"/>
    <sheet name="Sheet1" sheetId="10" state="hidden" r:id="rId8"/>
  </sheets>
  <definedNames>
    <definedName name="_xlnm.Print_Area" localSheetId="3">'bieu 14(PL08)'!$A$1:$I$33</definedName>
    <definedName name="_xlnm.Print_Area" localSheetId="5">'bieu tong thu(PL10)'!$A$1:$E$20</definedName>
    <definedName name="_xlnm.Print_Titles" localSheetId="0">'bieu 12 (PL05)'!$5:$6</definedName>
    <definedName name="_xlnm.Print_Titles" localSheetId="2">'bieu 13( PL 07)'!$6:$8</definedName>
    <definedName name="_xlnm.Print_Titles" localSheetId="3">'bieu 14(PL08)'!$5:$6</definedName>
    <definedName name="_xlnm.Print_Titles" localSheetId="4">'bieu 17(09)'!$5:$6</definedName>
    <definedName name="_xlnm.Print_Titles" localSheetId="1">'bieu 19 (PL 06)'!$5:$6</definedName>
  </definedNames>
  <calcPr calcId="144525"/>
</workbook>
</file>

<file path=xl/calcChain.xml><?xml version="1.0" encoding="utf-8"?>
<calcChain xmlns="http://schemas.openxmlformats.org/spreadsheetml/2006/main">
  <c r="E23" i="4" l="1"/>
  <c r="E13" i="4"/>
  <c r="I13" i="4" s="1"/>
  <c r="E31" i="4"/>
  <c r="H38" i="7"/>
  <c r="E22" i="3"/>
  <c r="H22" i="3" s="1"/>
  <c r="E33" i="3"/>
  <c r="T8" i="6"/>
  <c r="E66" i="7"/>
  <c r="E76" i="7"/>
  <c r="E26" i="7"/>
  <c r="E60" i="7"/>
  <c r="E58" i="7"/>
  <c r="E48" i="7" s="1"/>
  <c r="H35" i="7"/>
  <c r="F35" i="7"/>
  <c r="F45" i="7"/>
  <c r="H45" i="7"/>
  <c r="H34" i="7"/>
  <c r="F44" i="7"/>
  <c r="H44" i="7"/>
  <c r="E10" i="7"/>
  <c r="W21" i="6"/>
  <c r="X21" i="6" s="1"/>
  <c r="V21" i="6" s="1"/>
  <c r="W16" i="6"/>
  <c r="X16" i="6" s="1"/>
  <c r="V16" i="6" s="1"/>
  <c r="W14" i="6"/>
  <c r="X14" i="6" s="1"/>
  <c r="V14" i="6" s="1"/>
  <c r="W13" i="6"/>
  <c r="X13" i="6" s="1"/>
  <c r="V13" i="6" s="1"/>
  <c r="W12" i="6"/>
  <c r="X12" i="6" s="1"/>
  <c r="V12" i="6" s="1"/>
  <c r="W11" i="6"/>
  <c r="X11" i="6" s="1"/>
  <c r="V11" i="6" s="1"/>
  <c r="W10" i="6"/>
  <c r="X10" i="6" s="1"/>
  <c r="V10" i="6" s="1"/>
  <c r="W9" i="6"/>
  <c r="X9" i="6" s="1"/>
  <c r="V9" i="6" s="1"/>
  <c r="H43" i="7"/>
  <c r="I43" i="7"/>
  <c r="H42" i="7"/>
  <c r="I42" i="7"/>
  <c r="H41" i="7"/>
  <c r="I41" i="7"/>
  <c r="H40" i="7"/>
  <c r="I40" i="7"/>
  <c r="D9" i="4"/>
  <c r="S9" i="6"/>
  <c r="E12" i="9"/>
  <c r="D10" i="3"/>
  <c r="E10" i="3" s="1"/>
  <c r="O10" i="6"/>
  <c r="O11" i="6"/>
  <c r="O12" i="6"/>
  <c r="N12" i="6" s="1"/>
  <c r="O13" i="6"/>
  <c r="O14" i="6"/>
  <c r="O15" i="6"/>
  <c r="N15" i="6" s="1"/>
  <c r="O16" i="6"/>
  <c r="O17" i="6"/>
  <c r="N17" i="6" s="1"/>
  <c r="O18" i="6"/>
  <c r="O19" i="6"/>
  <c r="O20" i="6"/>
  <c r="N20" i="6" s="1"/>
  <c r="O21" i="6"/>
  <c r="O22" i="6"/>
  <c r="O23" i="6"/>
  <c r="N23" i="6" s="1"/>
  <c r="O9" i="6"/>
  <c r="N9" i="6" s="1"/>
  <c r="K10" i="6"/>
  <c r="K11" i="6"/>
  <c r="K12" i="6"/>
  <c r="K13" i="6"/>
  <c r="K14" i="6"/>
  <c r="K15" i="6"/>
  <c r="K16" i="6"/>
  <c r="K17" i="6"/>
  <c r="K18" i="6"/>
  <c r="K19" i="6"/>
  <c r="K20" i="6"/>
  <c r="K21" i="6"/>
  <c r="K22" i="6"/>
  <c r="K23" i="6"/>
  <c r="K9" i="6"/>
  <c r="K8" i="6" s="1"/>
  <c r="I10" i="6"/>
  <c r="I11" i="6"/>
  <c r="I12" i="6"/>
  <c r="I13" i="6"/>
  <c r="I14" i="6"/>
  <c r="I15" i="6"/>
  <c r="I16" i="6"/>
  <c r="I17" i="6"/>
  <c r="I18" i="6"/>
  <c r="I19" i="6"/>
  <c r="I20" i="6"/>
  <c r="I21" i="6"/>
  <c r="I22" i="6"/>
  <c r="I23" i="6"/>
  <c r="I9" i="6"/>
  <c r="N22" i="6"/>
  <c r="N21" i="6"/>
  <c r="J21" i="6" s="1"/>
  <c r="N18" i="6"/>
  <c r="J18" i="6" s="1"/>
  <c r="N16" i="6"/>
  <c r="J16" i="6" s="1"/>
  <c r="N14" i="6"/>
  <c r="J14" i="6" s="1"/>
  <c r="N13" i="6"/>
  <c r="N11" i="6"/>
  <c r="J11" i="6" s="1"/>
  <c r="N10" i="6"/>
  <c r="J10" i="6" s="1"/>
  <c r="P8" i="6"/>
  <c r="M8" i="6"/>
  <c r="L8" i="6"/>
  <c r="C26" i="7"/>
  <c r="C76" i="7"/>
  <c r="F11" i="7"/>
  <c r="F12" i="7"/>
  <c r="F10" i="7"/>
  <c r="F28" i="7"/>
  <c r="F29" i="7"/>
  <c r="F30" i="7"/>
  <c r="F31" i="7"/>
  <c r="F32" i="7"/>
  <c r="F33" i="7"/>
  <c r="F34" i="7"/>
  <c r="F36" i="7"/>
  <c r="F37" i="7"/>
  <c r="F39" i="7"/>
  <c r="F40" i="7"/>
  <c r="F41" i="7"/>
  <c r="F42" i="7"/>
  <c r="F43" i="7"/>
  <c r="F46" i="7"/>
  <c r="F27" i="7"/>
  <c r="F17" i="7"/>
  <c r="F18" i="7"/>
  <c r="F19" i="7"/>
  <c r="F20" i="7"/>
  <c r="F21" i="7"/>
  <c r="F22" i="7"/>
  <c r="F23" i="7"/>
  <c r="F24" i="7"/>
  <c r="F25" i="7"/>
  <c r="F16" i="7"/>
  <c r="F80" i="7"/>
  <c r="F81" i="7"/>
  <c r="F79" i="7"/>
  <c r="F78" i="7"/>
  <c r="F77" i="7"/>
  <c r="F75" i="7"/>
  <c r="F74" i="7"/>
  <c r="F68" i="7"/>
  <c r="F69" i="7"/>
  <c r="F70" i="7"/>
  <c r="F71" i="7"/>
  <c r="F72" i="7"/>
  <c r="F73" i="7"/>
  <c r="F67" i="7"/>
  <c r="C66" i="7"/>
  <c r="F62" i="7"/>
  <c r="F63" i="7"/>
  <c r="F64" i="7"/>
  <c r="F65" i="7"/>
  <c r="F61" i="7"/>
  <c r="C60" i="7"/>
  <c r="F50" i="7"/>
  <c r="F51" i="7"/>
  <c r="F52" i="7"/>
  <c r="F53" i="7"/>
  <c r="F54" i="7"/>
  <c r="F55" i="7"/>
  <c r="F56" i="7"/>
  <c r="F57" i="7"/>
  <c r="F58" i="7"/>
  <c r="F59" i="7"/>
  <c r="F49" i="7"/>
  <c r="C48" i="7"/>
  <c r="C15" i="7"/>
  <c r="C14" i="7"/>
  <c r="G10" i="7"/>
  <c r="G11" i="7"/>
  <c r="G12" i="7"/>
  <c r="G16" i="7"/>
  <c r="G17" i="7"/>
  <c r="G18" i="7"/>
  <c r="G19" i="7"/>
  <c r="G22" i="7"/>
  <c r="G23" i="7"/>
  <c r="G24" i="7"/>
  <c r="G25" i="7"/>
  <c r="G27" i="7"/>
  <c r="G28" i="7"/>
  <c r="G46" i="7"/>
  <c r="G49" i="7"/>
  <c r="G50" i="7"/>
  <c r="G51" i="7"/>
  <c r="G52" i="7"/>
  <c r="G53" i="7"/>
  <c r="G54" i="7"/>
  <c r="G55" i="7"/>
  <c r="G56" i="7"/>
  <c r="G57" i="7"/>
  <c r="G58" i="7"/>
  <c r="G59" i="7"/>
  <c r="G61" i="7"/>
  <c r="G62" i="7"/>
  <c r="G63" i="7"/>
  <c r="G64" i="7"/>
  <c r="G65" i="7"/>
  <c r="G67" i="7"/>
  <c r="G68" i="7"/>
  <c r="G69" i="7"/>
  <c r="G70" i="7"/>
  <c r="G71" i="7"/>
  <c r="G72" i="7"/>
  <c r="G73" i="7"/>
  <c r="G74" i="7"/>
  <c r="G75" i="7"/>
  <c r="G77" i="7"/>
  <c r="G78" i="7"/>
  <c r="G79" i="7"/>
  <c r="G80" i="7"/>
  <c r="G81" i="7"/>
  <c r="C9" i="7"/>
  <c r="C13" i="4"/>
  <c r="G13" i="4" s="1"/>
  <c r="G23" i="4"/>
  <c r="F13" i="4"/>
  <c r="F11" i="4"/>
  <c r="F12" i="4"/>
  <c r="F14" i="4"/>
  <c r="F16" i="4"/>
  <c r="F17" i="4"/>
  <c r="F18" i="4"/>
  <c r="F19" i="4"/>
  <c r="F20" i="4"/>
  <c r="F21" i="4"/>
  <c r="F22" i="4"/>
  <c r="F26" i="4"/>
  <c r="F27" i="4"/>
  <c r="F28" i="4"/>
  <c r="F29" i="4"/>
  <c r="F30" i="4"/>
  <c r="F31" i="4"/>
  <c r="F32" i="4"/>
  <c r="F33" i="4"/>
  <c r="G9" i="4"/>
  <c r="G11" i="4"/>
  <c r="G12" i="4"/>
  <c r="G14" i="4"/>
  <c r="G16" i="4"/>
  <c r="G17" i="4"/>
  <c r="G18" i="4"/>
  <c r="G21" i="4"/>
  <c r="G22" i="4"/>
  <c r="G28" i="4"/>
  <c r="G29" i="4"/>
  <c r="G30" i="4"/>
  <c r="G33" i="4"/>
  <c r="F9" i="4"/>
  <c r="J11" i="5"/>
  <c r="J12" i="5"/>
  <c r="J13" i="5"/>
  <c r="J14" i="5"/>
  <c r="J15" i="5"/>
  <c r="J16" i="5"/>
  <c r="J17" i="5"/>
  <c r="J19" i="5"/>
  <c r="J20" i="5"/>
  <c r="J21" i="5"/>
  <c r="J22" i="5"/>
  <c r="J23" i="5"/>
  <c r="J24" i="5"/>
  <c r="J25" i="5"/>
  <c r="J26" i="5"/>
  <c r="J38" i="5"/>
  <c r="J39" i="5"/>
  <c r="J40" i="5"/>
  <c r="J41" i="5"/>
  <c r="J42" i="5"/>
  <c r="J43" i="5"/>
  <c r="J44" i="5"/>
  <c r="J49" i="5"/>
  <c r="J50" i="5"/>
  <c r="J51" i="5"/>
  <c r="J52" i="5"/>
  <c r="I11" i="5"/>
  <c r="I12" i="5"/>
  <c r="I13" i="5"/>
  <c r="I14" i="5"/>
  <c r="I15" i="5"/>
  <c r="I16" i="5"/>
  <c r="I17" i="5"/>
  <c r="I19" i="5"/>
  <c r="I20" i="5"/>
  <c r="I21" i="5"/>
  <c r="I22" i="5"/>
  <c r="I23" i="5"/>
  <c r="I24" i="5"/>
  <c r="I25" i="5"/>
  <c r="I26" i="5"/>
  <c r="I28" i="5"/>
  <c r="I32" i="5"/>
  <c r="I36" i="5"/>
  <c r="I37" i="5"/>
  <c r="I38" i="5"/>
  <c r="I39" i="5"/>
  <c r="I40" i="5"/>
  <c r="I41" i="5"/>
  <c r="I42" i="5"/>
  <c r="I43" i="5"/>
  <c r="I44" i="5"/>
  <c r="I48" i="5"/>
  <c r="I49" i="5"/>
  <c r="I50" i="5"/>
  <c r="I51" i="5"/>
  <c r="I52" i="5"/>
  <c r="I55" i="5"/>
  <c r="I57" i="5"/>
  <c r="I58" i="5"/>
  <c r="D55" i="5"/>
  <c r="D54" i="5"/>
  <c r="C54" i="5"/>
  <c r="D48" i="5"/>
  <c r="J48" i="5" s="1"/>
  <c r="D45" i="5"/>
  <c r="D37" i="5"/>
  <c r="D36" i="5"/>
  <c r="D32" i="5"/>
  <c r="D28" i="5"/>
  <c r="D27" i="5"/>
  <c r="C27" i="5"/>
  <c r="D18" i="5"/>
  <c r="C18" i="5"/>
  <c r="C10" i="5"/>
  <c r="C9" i="5" s="1"/>
  <c r="F33" i="8"/>
  <c r="F34" i="8"/>
  <c r="C30" i="8"/>
  <c r="C27" i="8"/>
  <c r="G24" i="8"/>
  <c r="F24" i="8"/>
  <c r="C22" i="8"/>
  <c r="C20" i="8" s="1"/>
  <c r="G11" i="8"/>
  <c r="G15" i="8"/>
  <c r="G16" i="8"/>
  <c r="F15" i="8"/>
  <c r="F16" i="8"/>
  <c r="F17" i="8"/>
  <c r="F18" i="8"/>
  <c r="F19" i="8"/>
  <c r="F11" i="8"/>
  <c r="F10" i="8" s="1"/>
  <c r="C13" i="8"/>
  <c r="C10" i="8"/>
  <c r="F28" i="3"/>
  <c r="F29" i="3"/>
  <c r="F30" i="3"/>
  <c r="F32" i="3"/>
  <c r="F33" i="3"/>
  <c r="F27" i="3"/>
  <c r="F12" i="3"/>
  <c r="F13" i="3"/>
  <c r="F14" i="3"/>
  <c r="F15" i="3"/>
  <c r="F10" i="3"/>
  <c r="G12" i="3"/>
  <c r="G22" i="3"/>
  <c r="G27" i="3"/>
  <c r="G28" i="3"/>
  <c r="G30" i="3"/>
  <c r="G32" i="3"/>
  <c r="G33" i="3"/>
  <c r="G10" i="3"/>
  <c r="F22" i="3"/>
  <c r="F23" i="3"/>
  <c r="F24" i="3"/>
  <c r="F25" i="3"/>
  <c r="F17" i="3"/>
  <c r="C26" i="3"/>
  <c r="C20" i="3"/>
  <c r="C17" i="3"/>
  <c r="C9" i="3"/>
  <c r="C8" i="3" s="1"/>
  <c r="C9" i="9"/>
  <c r="C8" i="9"/>
  <c r="I29" i="7"/>
  <c r="I30" i="7"/>
  <c r="I31" i="7"/>
  <c r="I32" i="7"/>
  <c r="I33" i="7"/>
  <c r="I34" i="7"/>
  <c r="I36" i="7"/>
  <c r="I37" i="7"/>
  <c r="I39" i="7"/>
  <c r="E15" i="7"/>
  <c r="E17" i="4"/>
  <c r="E11" i="7"/>
  <c r="E12" i="7" s="1"/>
  <c r="I21" i="7"/>
  <c r="I20" i="7"/>
  <c r="L38" i="5"/>
  <c r="L39" i="5"/>
  <c r="L40" i="5"/>
  <c r="L41" i="5"/>
  <c r="L42" i="5"/>
  <c r="L43" i="5"/>
  <c r="L44" i="5"/>
  <c r="L49" i="5"/>
  <c r="L50" i="5"/>
  <c r="L51" i="5"/>
  <c r="L52" i="5"/>
  <c r="K36" i="5"/>
  <c r="K37" i="5"/>
  <c r="K38" i="5"/>
  <c r="K39" i="5"/>
  <c r="K40" i="5"/>
  <c r="K41" i="5"/>
  <c r="K42" i="5"/>
  <c r="K43" i="5"/>
  <c r="K44" i="5"/>
  <c r="K49" i="5"/>
  <c r="K50" i="5"/>
  <c r="K51" i="5"/>
  <c r="K52" i="5"/>
  <c r="K55" i="5"/>
  <c r="K57" i="5"/>
  <c r="K58" i="5"/>
  <c r="K32" i="5"/>
  <c r="K28" i="5"/>
  <c r="G48" i="5"/>
  <c r="K48" i="5" s="1"/>
  <c r="C47" i="7"/>
  <c r="C13" i="7"/>
  <c r="C8" i="7"/>
  <c r="N19" i="6"/>
  <c r="J19" i="6"/>
  <c r="O8" i="6"/>
  <c r="J22" i="6"/>
  <c r="J13" i="6"/>
  <c r="F76" i="7"/>
  <c r="F66" i="7"/>
  <c r="F15" i="7"/>
  <c r="F14" i="7" s="1"/>
  <c r="F13" i="7" s="1"/>
  <c r="F8" i="7" s="1"/>
  <c r="F9" i="7"/>
  <c r="F26" i="7"/>
  <c r="F60" i="7"/>
  <c r="F48" i="7"/>
  <c r="G14" i="7"/>
  <c r="F23" i="4"/>
  <c r="C10" i="4"/>
  <c r="C8" i="4" s="1"/>
  <c r="D10" i="5"/>
  <c r="D9" i="5" s="1"/>
  <c r="C26" i="8"/>
  <c r="C16" i="3"/>
  <c r="D18" i="3"/>
  <c r="E18" i="3" s="1"/>
  <c r="D9" i="9"/>
  <c r="D8" i="9" s="1"/>
  <c r="H71" i="7"/>
  <c r="E29" i="4"/>
  <c r="H27" i="4"/>
  <c r="E20" i="4"/>
  <c r="I20" i="4" s="1"/>
  <c r="D25" i="4"/>
  <c r="F25" i="4" s="1"/>
  <c r="H70" i="7"/>
  <c r="H73" i="7"/>
  <c r="I72" i="7"/>
  <c r="I73" i="7"/>
  <c r="D66" i="7"/>
  <c r="G66" i="7"/>
  <c r="H31" i="7"/>
  <c r="H21" i="7"/>
  <c r="D31" i="3"/>
  <c r="F31" i="3" s="1"/>
  <c r="D32" i="8"/>
  <c r="D28" i="8"/>
  <c r="E28" i="8" s="1"/>
  <c r="E11" i="8"/>
  <c r="E7" i="10"/>
  <c r="E8" i="10"/>
  <c r="E9" i="10"/>
  <c r="E10" i="10"/>
  <c r="E11" i="10"/>
  <c r="E12" i="10"/>
  <c r="E13" i="10"/>
  <c r="E14" i="10"/>
  <c r="E15" i="10"/>
  <c r="E16" i="10"/>
  <c r="E17" i="10"/>
  <c r="E18" i="10"/>
  <c r="E19" i="10"/>
  <c r="E20" i="10"/>
  <c r="D21" i="10"/>
  <c r="F21" i="10"/>
  <c r="C21" i="10"/>
  <c r="E6" i="10"/>
  <c r="E21" i="10" s="1"/>
  <c r="W15" i="6"/>
  <c r="X15" i="6" s="1"/>
  <c r="V15" i="6" s="1"/>
  <c r="W17" i="6"/>
  <c r="X17" i="6" s="1"/>
  <c r="V17" i="6" s="1"/>
  <c r="W18" i="6"/>
  <c r="X18" i="6" s="1"/>
  <c r="V18" i="6" s="1"/>
  <c r="W19" i="6"/>
  <c r="X19" i="6" s="1"/>
  <c r="V19" i="6" s="1"/>
  <c r="W20" i="6"/>
  <c r="X20" i="6" s="1"/>
  <c r="V20" i="6" s="1"/>
  <c r="W22" i="6"/>
  <c r="X22" i="6" s="1"/>
  <c r="V22" i="6" s="1"/>
  <c r="W23" i="6"/>
  <c r="X23" i="6" s="1"/>
  <c r="V23" i="6" s="1"/>
  <c r="F9" i="6"/>
  <c r="F10" i="6"/>
  <c r="F11" i="6"/>
  <c r="F12" i="6"/>
  <c r="F13" i="6"/>
  <c r="F14" i="6"/>
  <c r="F15" i="6"/>
  <c r="F16" i="6"/>
  <c r="F17" i="6"/>
  <c r="F18" i="6"/>
  <c r="F19" i="6"/>
  <c r="F20" i="6"/>
  <c r="F21" i="6"/>
  <c r="F22" i="6"/>
  <c r="F23" i="6"/>
  <c r="G8" i="6"/>
  <c r="D23" i="8" s="1"/>
  <c r="H8" i="6"/>
  <c r="D21" i="3"/>
  <c r="G21" i="3" s="1"/>
  <c r="D11" i="3"/>
  <c r="F11" i="3" s="1"/>
  <c r="E19" i="4"/>
  <c r="I19" i="4" s="1"/>
  <c r="E18" i="4"/>
  <c r="I18" i="4" s="1"/>
  <c r="I17" i="4"/>
  <c r="D15" i="7"/>
  <c r="G15" i="7" s="1"/>
  <c r="H20" i="7"/>
  <c r="E14" i="7"/>
  <c r="H19" i="7"/>
  <c r="I19" i="7"/>
  <c r="H18" i="7"/>
  <c r="I18" i="7"/>
  <c r="I17" i="7"/>
  <c r="H17" i="7"/>
  <c r="I16" i="7"/>
  <c r="H16" i="7"/>
  <c r="I25" i="4"/>
  <c r="E28" i="4"/>
  <c r="I28" i="4" s="1"/>
  <c r="H30" i="7"/>
  <c r="H37" i="7"/>
  <c r="H39" i="7"/>
  <c r="L11" i="5"/>
  <c r="L12" i="5"/>
  <c r="L13" i="5"/>
  <c r="L14" i="5"/>
  <c r="L15" i="5"/>
  <c r="L16" i="5"/>
  <c r="L17" i="5"/>
  <c r="L19" i="5"/>
  <c r="L20" i="5"/>
  <c r="L21" i="5"/>
  <c r="L22" i="5"/>
  <c r="L23" i="5"/>
  <c r="L24" i="5"/>
  <c r="L25" i="5"/>
  <c r="L26" i="5"/>
  <c r="K11" i="5"/>
  <c r="K12" i="5"/>
  <c r="K13" i="5"/>
  <c r="K14" i="5"/>
  <c r="K15" i="5"/>
  <c r="K16" i="5"/>
  <c r="K17" i="5"/>
  <c r="K19" i="5"/>
  <c r="K20" i="5"/>
  <c r="K21" i="5"/>
  <c r="K22" i="5"/>
  <c r="K23" i="5"/>
  <c r="K24" i="5"/>
  <c r="K25" i="5"/>
  <c r="K26" i="5"/>
  <c r="H55" i="5"/>
  <c r="H54" i="5"/>
  <c r="G54" i="5"/>
  <c r="H45" i="5"/>
  <c r="H37" i="5"/>
  <c r="H36" i="5"/>
  <c r="H32" i="5"/>
  <c r="H28" i="5"/>
  <c r="L28" i="5" s="1"/>
  <c r="G27" i="5"/>
  <c r="H18" i="5"/>
  <c r="L18" i="5" s="1"/>
  <c r="G18" i="5"/>
  <c r="K18" i="5" s="1"/>
  <c r="E14" i="4"/>
  <c r="H14" i="4" s="1"/>
  <c r="E33" i="4"/>
  <c r="H33" i="4" s="1"/>
  <c r="E11" i="4"/>
  <c r="H11" i="4" s="1"/>
  <c r="H23" i="4"/>
  <c r="E9" i="4"/>
  <c r="H9" i="4" s="1"/>
  <c r="H31" i="4"/>
  <c r="D24" i="4"/>
  <c r="G24" i="4" s="1"/>
  <c r="D8" i="6"/>
  <c r="U8" i="6"/>
  <c r="E34" i="8"/>
  <c r="H34" i="8" s="1"/>
  <c r="I33" i="3"/>
  <c r="I31" i="3"/>
  <c r="I75" i="7"/>
  <c r="H32" i="7"/>
  <c r="H33" i="7"/>
  <c r="S10" i="6"/>
  <c r="S11" i="6"/>
  <c r="S12" i="6"/>
  <c r="S13" i="6"/>
  <c r="S14" i="6"/>
  <c r="S15" i="6"/>
  <c r="S16" i="6"/>
  <c r="S17" i="6"/>
  <c r="S18" i="6"/>
  <c r="S19" i="6"/>
  <c r="S20" i="6"/>
  <c r="S21" i="6"/>
  <c r="S22" i="6"/>
  <c r="S23" i="6"/>
  <c r="H30" i="3"/>
  <c r="E33" i="8"/>
  <c r="H33" i="8" s="1"/>
  <c r="A3" i="6"/>
  <c r="A3" i="9"/>
  <c r="A3" i="7"/>
  <c r="A3" i="4"/>
  <c r="A3" i="5"/>
  <c r="A3" i="8"/>
  <c r="H79" i="7"/>
  <c r="E54" i="5"/>
  <c r="I54" i="5" s="1"/>
  <c r="D48" i="7"/>
  <c r="Q10" i="6"/>
  <c r="Q11" i="6"/>
  <c r="Q12" i="6"/>
  <c r="Q13" i="6"/>
  <c r="Q14" i="6"/>
  <c r="Q15" i="6"/>
  <c r="Q16" i="6"/>
  <c r="Q17" i="6"/>
  <c r="Q18" i="6"/>
  <c r="Q19" i="6"/>
  <c r="Q20" i="6"/>
  <c r="Q21" i="6"/>
  <c r="Q22" i="6"/>
  <c r="Q23" i="6"/>
  <c r="Q9" i="6"/>
  <c r="Q8" i="6" s="1"/>
  <c r="E12" i="4"/>
  <c r="H12" i="4" s="1"/>
  <c r="E24" i="4"/>
  <c r="I24" i="4" s="1"/>
  <c r="I68" i="7"/>
  <c r="H63" i="7"/>
  <c r="D60" i="7"/>
  <c r="G60" i="7" s="1"/>
  <c r="H59" i="7"/>
  <c r="H58" i="7"/>
  <c r="H54" i="7"/>
  <c r="H52" i="7"/>
  <c r="D26" i="7"/>
  <c r="I26" i="7" s="1"/>
  <c r="E15" i="4"/>
  <c r="D15" i="4"/>
  <c r="F15" i="4" s="1"/>
  <c r="E16" i="4"/>
  <c r="H16" i="4" s="1"/>
  <c r="F32" i="5"/>
  <c r="L32" i="5" s="1"/>
  <c r="E16" i="9"/>
  <c r="H32" i="3"/>
  <c r="D20" i="3"/>
  <c r="G20" i="3" s="1"/>
  <c r="H23" i="7"/>
  <c r="H24" i="7"/>
  <c r="I46" i="7"/>
  <c r="H17" i="8"/>
  <c r="H18" i="8"/>
  <c r="E17" i="9"/>
  <c r="E15" i="9"/>
  <c r="E14" i="9"/>
  <c r="E13" i="9"/>
  <c r="E11" i="9"/>
  <c r="E9" i="9" s="1"/>
  <c r="E10" i="9"/>
  <c r="C8" i="6"/>
  <c r="H75" i="7"/>
  <c r="H49" i="7"/>
  <c r="H53" i="7"/>
  <c r="H56" i="7"/>
  <c r="I49" i="7"/>
  <c r="I50" i="7"/>
  <c r="I51" i="7"/>
  <c r="I52" i="7"/>
  <c r="I53" i="7"/>
  <c r="I54" i="7"/>
  <c r="I55" i="7"/>
  <c r="I56" i="7"/>
  <c r="I57" i="7"/>
  <c r="I59" i="7"/>
  <c r="I61" i="7"/>
  <c r="I62" i="7"/>
  <c r="I63" i="7"/>
  <c r="I64" i="7"/>
  <c r="I65" i="7"/>
  <c r="I69" i="7"/>
  <c r="I70" i="7"/>
  <c r="I77" i="7"/>
  <c r="H50" i="7"/>
  <c r="H51" i="7"/>
  <c r="H55" i="7"/>
  <c r="H57" i="7"/>
  <c r="H62" i="7"/>
  <c r="H64" i="7"/>
  <c r="H65" i="7"/>
  <c r="H69" i="7"/>
  <c r="D9" i="7"/>
  <c r="H10" i="7"/>
  <c r="H19" i="3"/>
  <c r="H16" i="8"/>
  <c r="H19" i="8"/>
  <c r="H25" i="8"/>
  <c r="H29" i="8"/>
  <c r="E12" i="8"/>
  <c r="E10" i="8" s="1"/>
  <c r="H11" i="8"/>
  <c r="H25" i="4"/>
  <c r="F55" i="5"/>
  <c r="J55" i="5" s="1"/>
  <c r="F45" i="5"/>
  <c r="F37" i="5"/>
  <c r="L37" i="5" s="1"/>
  <c r="F36" i="5"/>
  <c r="J36" i="5" s="1"/>
  <c r="F28" i="5"/>
  <c r="J28" i="5" s="1"/>
  <c r="E27" i="5"/>
  <c r="I27" i="5" s="1"/>
  <c r="F18" i="5"/>
  <c r="J18" i="5" s="1"/>
  <c r="E18" i="5"/>
  <c r="I18" i="5" s="1"/>
  <c r="E11" i="3"/>
  <c r="I11" i="3" s="1"/>
  <c r="E12" i="3"/>
  <c r="H12" i="3" s="1"/>
  <c r="I30" i="3"/>
  <c r="H13" i="3"/>
  <c r="H14" i="3"/>
  <c r="H15" i="3"/>
  <c r="H24" i="3"/>
  <c r="H25" i="3"/>
  <c r="H29" i="3"/>
  <c r="H23" i="3"/>
  <c r="I81" i="7"/>
  <c r="I28" i="7"/>
  <c r="H46" i="7"/>
  <c r="H26" i="4"/>
  <c r="H27" i="7"/>
  <c r="H25" i="7"/>
  <c r="I27" i="7"/>
  <c r="I78" i="7"/>
  <c r="D76" i="7"/>
  <c r="G76" i="7"/>
  <c r="H78" i="7"/>
  <c r="H77" i="7"/>
  <c r="I25" i="7"/>
  <c r="I23" i="7"/>
  <c r="I24" i="7"/>
  <c r="I22" i="7"/>
  <c r="H22" i="7"/>
  <c r="H80" i="7"/>
  <c r="H28" i="7"/>
  <c r="H81" i="7"/>
  <c r="I27" i="3"/>
  <c r="H27" i="3"/>
  <c r="H72" i="7"/>
  <c r="H68" i="7"/>
  <c r="H67" i="7"/>
  <c r="H61" i="7"/>
  <c r="I67" i="7"/>
  <c r="H32" i="4"/>
  <c r="H74" i="7"/>
  <c r="E8" i="6"/>
  <c r="D10" i="8"/>
  <c r="G10" i="8" s="1"/>
  <c r="I74" i="7"/>
  <c r="I11" i="8"/>
  <c r="H11" i="3"/>
  <c r="D17" i="3"/>
  <c r="G17" i="3" s="1"/>
  <c r="H17" i="4"/>
  <c r="I80" i="7"/>
  <c r="I79" i="7"/>
  <c r="I10" i="7"/>
  <c r="H29" i="7"/>
  <c r="I12" i="3"/>
  <c r="D27" i="8"/>
  <c r="G27" i="8" s="1"/>
  <c r="I29" i="4"/>
  <c r="G48" i="7"/>
  <c r="D47" i="7"/>
  <c r="G47" i="7"/>
  <c r="G9" i="7"/>
  <c r="F47" i="7"/>
  <c r="G26" i="7"/>
  <c r="I9" i="4"/>
  <c r="L48" i="5"/>
  <c r="F32" i="8"/>
  <c r="G32" i="8"/>
  <c r="D16" i="3"/>
  <c r="G16" i="3" s="1"/>
  <c r="W8" i="6"/>
  <c r="E23" i="8" s="1"/>
  <c r="I16" i="4"/>
  <c r="G15" i="4"/>
  <c r="I11" i="4"/>
  <c r="F24" i="4"/>
  <c r="I76" i="7"/>
  <c r="H24" i="4"/>
  <c r="L36" i="5"/>
  <c r="K54" i="5"/>
  <c r="E10" i="5"/>
  <c r="E9" i="5" s="1"/>
  <c r="I9" i="5" s="1"/>
  <c r="F54" i="5"/>
  <c r="L54" i="5"/>
  <c r="H33" i="3"/>
  <c r="H28" i="4"/>
  <c r="I33" i="4"/>
  <c r="I60" i="7"/>
  <c r="H48" i="7"/>
  <c r="H47" i="7" s="1"/>
  <c r="I58" i="7"/>
  <c r="H15" i="4"/>
  <c r="H19" i="4"/>
  <c r="I12" i="4"/>
  <c r="I66" i="7"/>
  <c r="H20" i="4"/>
  <c r="H76" i="7"/>
  <c r="H29" i="4"/>
  <c r="E13" i="7"/>
  <c r="H13" i="4"/>
  <c r="I23" i="4"/>
  <c r="I15" i="4"/>
  <c r="I11" i="7"/>
  <c r="H66" i="7"/>
  <c r="H60" i="7"/>
  <c r="H36" i="7"/>
  <c r="H26" i="7"/>
  <c r="H18" i="4"/>
  <c r="I14" i="7"/>
  <c r="I14" i="4"/>
  <c r="H15" i="7"/>
  <c r="H14" i="7" s="1"/>
  <c r="H13" i="7" s="1"/>
  <c r="D13" i="7"/>
  <c r="G13" i="7" s="1"/>
  <c r="I15" i="7"/>
  <c r="H11" i="7"/>
  <c r="I10" i="5"/>
  <c r="I13" i="7"/>
  <c r="H9" i="7" l="1"/>
  <c r="H8" i="7" s="1"/>
  <c r="H12" i="7"/>
  <c r="E9" i="7"/>
  <c r="I12" i="7"/>
  <c r="I10" i="3"/>
  <c r="H10" i="3"/>
  <c r="E47" i="7"/>
  <c r="I47" i="7" s="1"/>
  <c r="I48" i="7"/>
  <c r="D22" i="8"/>
  <c r="G22" i="8" s="1"/>
  <c r="D31" i="8"/>
  <c r="G23" i="8"/>
  <c r="F23" i="8"/>
  <c r="F22" i="8" s="1"/>
  <c r="D8" i="7"/>
  <c r="G8" i="7" s="1"/>
  <c r="L55" i="5"/>
  <c r="H12" i="8"/>
  <c r="H10" i="8" s="1"/>
  <c r="C9" i="8"/>
  <c r="I8" i="6"/>
  <c r="E22" i="4"/>
  <c r="G18" i="3"/>
  <c r="J54" i="5"/>
  <c r="J17" i="6"/>
  <c r="R9" i="6"/>
  <c r="R11" i="6"/>
  <c r="R13" i="6"/>
  <c r="E31" i="8"/>
  <c r="H31" i="8" s="1"/>
  <c r="I23" i="8"/>
  <c r="S8" i="6"/>
  <c r="R22" i="6"/>
  <c r="R19" i="6"/>
  <c r="R17" i="6"/>
  <c r="J23" i="6"/>
  <c r="J12" i="6"/>
  <c r="R12" i="6"/>
  <c r="R14" i="6"/>
  <c r="R21" i="6"/>
  <c r="F8" i="6"/>
  <c r="R23" i="6"/>
  <c r="R20" i="6"/>
  <c r="R18" i="6"/>
  <c r="R15" i="6"/>
  <c r="J20" i="6"/>
  <c r="J15" i="6"/>
  <c r="R16" i="6"/>
  <c r="N8" i="6"/>
  <c r="J9" i="6"/>
  <c r="J8" i="6" s="1"/>
  <c r="R10" i="6"/>
  <c r="V8" i="6"/>
  <c r="X8" i="6"/>
  <c r="E24" i="8" s="1"/>
  <c r="H22" i="4"/>
  <c r="I22" i="4"/>
  <c r="F10" i="4"/>
  <c r="F8" i="4" s="1"/>
  <c r="D10" i="4"/>
  <c r="G25" i="4"/>
  <c r="K27" i="5"/>
  <c r="J37" i="5"/>
  <c r="J32" i="5"/>
  <c r="G10" i="5"/>
  <c r="H27" i="5"/>
  <c r="H10" i="5" s="1"/>
  <c r="F27" i="5"/>
  <c r="H23" i="8"/>
  <c r="I10" i="8"/>
  <c r="I31" i="8"/>
  <c r="F31" i="8"/>
  <c r="F30" i="8" s="1"/>
  <c r="D9" i="3"/>
  <c r="D8" i="3" s="1"/>
  <c r="G8" i="3" s="1"/>
  <c r="I22" i="3"/>
  <c r="H31" i="3"/>
  <c r="H18" i="3"/>
  <c r="E17" i="3"/>
  <c r="I18" i="3"/>
  <c r="F26" i="3"/>
  <c r="I28" i="8"/>
  <c r="H28" i="8"/>
  <c r="E27" i="8"/>
  <c r="F9" i="3"/>
  <c r="F8" i="3" s="1"/>
  <c r="F21" i="3"/>
  <c r="F20" i="3" s="1"/>
  <c r="F16" i="3" s="1"/>
  <c r="G31" i="3"/>
  <c r="G28" i="8"/>
  <c r="F28" i="8"/>
  <c r="F27" i="8" s="1"/>
  <c r="F26" i="8" s="1"/>
  <c r="E21" i="3"/>
  <c r="G9" i="3"/>
  <c r="E9" i="3"/>
  <c r="D26" i="3"/>
  <c r="G26" i="3" s="1"/>
  <c r="D14" i="8"/>
  <c r="G11" i="3"/>
  <c r="D30" i="8" l="1"/>
  <c r="G31" i="8"/>
  <c r="E21" i="4"/>
  <c r="I9" i="7"/>
  <c r="E8" i="7"/>
  <c r="I8" i="7" s="1"/>
  <c r="R8" i="6"/>
  <c r="E30" i="4" s="1"/>
  <c r="E15" i="8"/>
  <c r="E32" i="8"/>
  <c r="H24" i="8"/>
  <c r="E22" i="8"/>
  <c r="G10" i="4"/>
  <c r="D8" i="4"/>
  <c r="H9" i="5"/>
  <c r="L27" i="5"/>
  <c r="J27" i="5"/>
  <c r="F10" i="5"/>
  <c r="K10" i="5"/>
  <c r="G9" i="5"/>
  <c r="K9" i="5" s="1"/>
  <c r="G14" i="8"/>
  <c r="D13" i="8"/>
  <c r="F14" i="8"/>
  <c r="F13" i="8" s="1"/>
  <c r="F9" i="8" s="1"/>
  <c r="E14" i="8"/>
  <c r="I21" i="3"/>
  <c r="E20" i="3"/>
  <c r="H21" i="3"/>
  <c r="I27" i="8"/>
  <c r="H27" i="8"/>
  <c r="E16" i="3"/>
  <c r="I17" i="3"/>
  <c r="H17" i="3"/>
  <c r="H9" i="3"/>
  <c r="H8" i="3" s="1"/>
  <c r="I9" i="3"/>
  <c r="E8" i="3"/>
  <c r="I8" i="3" s="1"/>
  <c r="H21" i="4" l="1"/>
  <c r="I21" i="4"/>
  <c r="G30" i="8"/>
  <c r="D26" i="8"/>
  <c r="H30" i="4"/>
  <c r="H10" i="4" s="1"/>
  <c r="H8" i="4" s="1"/>
  <c r="E10" i="4"/>
  <c r="I30" i="4"/>
  <c r="I22" i="8"/>
  <c r="H22" i="8"/>
  <c r="H15" i="8"/>
  <c r="I15" i="8"/>
  <c r="H32" i="8"/>
  <c r="E30" i="8"/>
  <c r="G8" i="4"/>
  <c r="F9" i="5"/>
  <c r="J9" i="5" s="1"/>
  <c r="J10" i="5"/>
  <c r="L9" i="5"/>
  <c r="L10" i="5"/>
  <c r="I16" i="3"/>
  <c r="H16" i="3"/>
  <c r="E28" i="3"/>
  <c r="E18" i="9"/>
  <c r="E8" i="9" s="1"/>
  <c r="I20" i="3"/>
  <c r="H20" i="3"/>
  <c r="I14" i="8"/>
  <c r="H14" i="8"/>
  <c r="H13" i="8" s="1"/>
  <c r="H9" i="8" s="1"/>
  <c r="E13" i="8"/>
  <c r="G13" i="8"/>
  <c r="D9" i="8"/>
  <c r="D35" i="8" l="1"/>
  <c r="G26" i="8"/>
  <c r="E8" i="4"/>
  <c r="I8" i="4" s="1"/>
  <c r="I10" i="4"/>
  <c r="H30" i="8"/>
  <c r="E26" i="8"/>
  <c r="I30" i="8"/>
  <c r="E26" i="3"/>
  <c r="H28" i="3"/>
  <c r="I28" i="3"/>
  <c r="D21" i="8"/>
  <c r="G9" i="8"/>
  <c r="I13" i="8"/>
  <c r="E9" i="8"/>
  <c r="G35" i="8" l="1"/>
  <c r="F35" i="8"/>
  <c r="E35" i="8"/>
  <c r="I26" i="8"/>
  <c r="H26" i="8"/>
  <c r="E21" i="8"/>
  <c r="I9" i="8"/>
  <c r="H26" i="3"/>
  <c r="I26" i="3"/>
  <c r="F21" i="8"/>
  <c r="F20" i="8" s="1"/>
  <c r="G21" i="8"/>
  <c r="D20" i="8"/>
  <c r="G20" i="8" s="1"/>
  <c r="H35" i="8" l="1"/>
  <c r="I35" i="8"/>
  <c r="E20" i="8"/>
  <c r="I20" i="8" s="1"/>
  <c r="H21" i="8"/>
  <c r="H20" i="8" s="1"/>
  <c r="I21" i="8"/>
</calcChain>
</file>

<file path=xl/comments1.xml><?xml version="1.0" encoding="utf-8"?>
<comments xmlns="http://schemas.openxmlformats.org/spreadsheetml/2006/main">
  <authors>
    <author>My_PC</author>
  </authors>
  <commentList>
    <comment ref="A9" authorId="0">
      <text>
        <r>
          <rPr>
            <b/>
            <sz val="9"/>
            <color indexed="81"/>
            <rFont val="Segoe UI"/>
            <family val="2"/>
            <charset val="163"/>
          </rPr>
          <t>My_PC:</t>
        </r>
        <r>
          <rPr>
            <sz val="9"/>
            <color indexed="81"/>
            <rFont val="Segoe UI"/>
            <family val="2"/>
            <charset val="163"/>
          </rPr>
          <t xml:space="preserve">
</t>
        </r>
      </text>
    </comment>
  </commentList>
</comments>
</file>

<file path=xl/sharedStrings.xml><?xml version="1.0" encoding="utf-8"?>
<sst xmlns="http://schemas.openxmlformats.org/spreadsheetml/2006/main" count="553" uniqueCount="318">
  <si>
    <t>A</t>
  </si>
  <si>
    <t>B</t>
  </si>
  <si>
    <t>C</t>
  </si>
  <si>
    <t>STT</t>
  </si>
  <si>
    <t xml:space="preserve"> - Thu thuế - phí, lệ phí</t>
  </si>
  <si>
    <t xml:space="preserve"> - Thu khác</t>
  </si>
  <si>
    <t>Thu từ dầu thô</t>
  </si>
  <si>
    <t>Thu từ xuất khẩu, nhập khẩu</t>
  </si>
  <si>
    <t>Thu viện trợ không hoàn lại</t>
  </si>
  <si>
    <t>Thu kết dư ngân sách</t>
  </si>
  <si>
    <t>Trong đó: chi cải cách tiền lương</t>
  </si>
  <si>
    <t>4</t>
  </si>
  <si>
    <t>ĐVT: Triệu đồng</t>
  </si>
  <si>
    <t>Thu tạo nguồn cải cách tiền lương</t>
  </si>
  <si>
    <t>Thu ngân sách địa phương</t>
  </si>
  <si>
    <t>Chi khen thưởng</t>
  </si>
  <si>
    <t xml:space="preserve"> - Thu phạt ATGT</t>
  </si>
  <si>
    <t>Tiết kiệm 10% chi cải cách tiền lương</t>
  </si>
  <si>
    <t>5</t>
  </si>
  <si>
    <t>6</t>
  </si>
  <si>
    <t>Tuyệt đối</t>
  </si>
  <si>
    <t xml:space="preserve">Nội dung </t>
  </si>
  <si>
    <t>1</t>
  </si>
  <si>
    <t>2</t>
  </si>
  <si>
    <t>Tương đối 
(%)</t>
  </si>
  <si>
    <t>Đơn vị: Triệu đồng</t>
  </si>
  <si>
    <t>Nội dung</t>
  </si>
  <si>
    <t>Tổng thu NSNN</t>
  </si>
  <si>
    <t>Thu NSĐP</t>
  </si>
  <si>
    <t>TỔNG THU NSNN</t>
  </si>
  <si>
    <t>I</t>
  </si>
  <si>
    <t>Thu nội địa</t>
  </si>
  <si>
    <t>-</t>
  </si>
  <si>
    <t>Thu nội địa không bao gồm GTGC đồng thời tiền sử dụng đất và tiền cho thuế đất</t>
  </si>
  <si>
    <t>Thu nội địa không bao gồm GTGC đồng thời tiền sử dụng đất; cơ chế riêng và tiền cho thuế đất</t>
  </si>
  <si>
    <t>Thu nội địa không bao gồm tiền sử dụng đất và Ghi thu ghi chi đồng thời thuê đất</t>
  </si>
  <si>
    <t>Thu nội địa không bao gồm tiền sử dụng đất và Ghi thu ghi chi đồng thời thuê đất và xổ số kiến thiết</t>
  </si>
  <si>
    <t>Thu từ khu vực DNNN do trung ương quản lý (1)</t>
  </si>
  <si>
    <t>- Thuế giá trị gia tăng hàng sản xuất kinh doanh trong nước</t>
  </si>
  <si>
    <t>- Thuế thu nhập doanh nghiệp</t>
  </si>
  <si>
    <t>Thu từ khu vực DNNN do địa phương quản lý (2)</t>
  </si>
  <si>
    <t>- Thuế tài nguyên</t>
  </si>
  <si>
    <t>Thu từ khu vực doanh nghiệp có vốn đầu tư nước ngoài (3)</t>
  </si>
  <si>
    <t>- Thu tiền mặt đất, mặt nước - mặt biển</t>
  </si>
  <si>
    <t>Thu từ khu vực kinh tế ngoài quốc doanh (4)</t>
  </si>
  <si>
    <t>- Thuế GTGT+TNDN</t>
  </si>
  <si>
    <t>- Thuế tiêu thụ đặc biệt hàng sản xuất trong nước</t>
  </si>
  <si>
    <t>- Thu phạt về thuế</t>
  </si>
  <si>
    <t>Thuế thu nhập cá nhân</t>
  </si>
  <si>
    <t>Thuế bảo vệ môi trường</t>
  </si>
  <si>
    <t>- Số thu NSTW hưởng 100%</t>
  </si>
  <si>
    <t>- Số thu phân chia NSTW và NSĐP</t>
  </si>
  <si>
    <t>Lệ phí trước bạ</t>
  </si>
  <si>
    <t>Thu phí, lệ phí</t>
  </si>
  <si>
    <t>- Phí và lệ phí trung ương</t>
  </si>
  <si>
    <t>- Phí và lệ phí tỉnh</t>
  </si>
  <si>
    <t>- Phí và lệ phí huyện</t>
  </si>
  <si>
    <t>- Phí và lệ phí xã, thị trấn</t>
  </si>
  <si>
    <t>Thuế sử dụng đất nông nghiệp</t>
  </si>
  <si>
    <t>Thuế sử dụng đất phi nông nghiệp</t>
  </si>
  <si>
    <t>Tiền cho thuê đất, thuê mặt nước</t>
  </si>
  <si>
    <t>Trong đó: ghi thu-ghi chi đồng thời</t>
  </si>
  <si>
    <t>Thu tiền sử dụng đất</t>
  </si>
  <si>
    <t xml:space="preserve">                thực hiện theo cơ chế riêng</t>
  </si>
  <si>
    <t>Tiền cho thuê và tiền bán nhà ở thuộc sở hữu nhà nước</t>
  </si>
  <si>
    <t>Thu từ hoạt động xổ số kiến thiết</t>
  </si>
  <si>
    <t>Các khoản thu khác ngành thuế quản lý</t>
  </si>
  <si>
    <t>Thu khác ngân sách</t>
  </si>
  <si>
    <t>- Thu khác ngân sách địa phương hưởng</t>
  </si>
  <si>
    <t>- Thu khác ngân sách trung ương hưởng</t>
  </si>
  <si>
    <t>-  Thu phạt an toàn giao thông</t>
  </si>
  <si>
    <t>Thu từ quỹ đất công ích, hoa lợi công sản khác</t>
  </si>
  <si>
    <t>Thu hồi vốn, thu cổ tức (5)</t>
  </si>
  <si>
    <t>Lợi nhuận được chia của Nhà nước và lợi nhuận sau thuế còn lại sau khi trích lập các quỹ của doanh nghiệp nhà nước (5)</t>
  </si>
  <si>
    <t>Chênh lệch thu chi Ngân hàng Nhà nước (5)</t>
  </si>
  <si>
    <t>II</t>
  </si>
  <si>
    <t>III</t>
  </si>
  <si>
    <t>Thu từ hoạt động xuất, nhập khẩu</t>
  </si>
  <si>
    <t>Thuế GTGT thu từ hàng hóa nhập khẩu</t>
  </si>
  <si>
    <t>Thuế xuất khẩu</t>
  </si>
  <si>
    <t>Thuế nhập khẩu</t>
  </si>
  <si>
    <t>Thuế TTĐB thu từ hàng hóa nhập khẩu</t>
  </si>
  <si>
    <t>Thuế BVMT thu từ hàng hóa nhập khẩu</t>
  </si>
  <si>
    <t>Thu khác</t>
  </si>
  <si>
    <t>IV</t>
  </si>
  <si>
    <t>Thu viện trợ</t>
  </si>
  <si>
    <t>Ghi chú:</t>
  </si>
  <si>
    <t>(4) Doanh nghiệp khu vực kinh tế ngoài quốc doanh là các doanh nghiệp thành lập theo Luật doanh nghiệp, Luật các tổ chức tín dụng, trừ các doanh nghiệp nhà nước do trung ương, địa phương quản lý, doanh nghiệp có vốn đầu tư nước ngoài nêu trên.</t>
  </si>
  <si>
    <t>(5) Thu ngân sách nhà nước trên địa bàn, thu ngân sách địa phương cấp huyện, xã không có thu từ cổ tức, lợi nhuận được chia của Nhà nước và lợi nhuận sau thuế còn lại sau khi trích lập các quỹ của doanh nghiệp nhà nước, chênh lệch thu, chi Ngân hàng Nhà nước, thu từ dầu thô, thu từ hoạt động xuất, nhập khẩu. Thu chênh lệch thu, chi Ngân hàng Nhà nước chỉ áp dụng đối với thành phố Hà Nội.</t>
  </si>
  <si>
    <t>Tổng cộng</t>
  </si>
  <si>
    <t>Chi đầu tư phát triển</t>
  </si>
  <si>
    <t>Chi thường xuyên</t>
  </si>
  <si>
    <t>Chi quốc phòng</t>
  </si>
  <si>
    <t>Chi an ninh</t>
  </si>
  <si>
    <t>Chi sự nghiệp giáo dục</t>
  </si>
  <si>
    <t>Chi sự nghiệp đào tạo và dạy nghề</t>
  </si>
  <si>
    <t>Chi sự nghiệp khoa học và công nghệ</t>
  </si>
  <si>
    <t>Chi sự nghiệp môi trường</t>
  </si>
  <si>
    <t>7</t>
  </si>
  <si>
    <t>Chi sự nghiệp VHTT, TDTT</t>
  </si>
  <si>
    <t>8</t>
  </si>
  <si>
    <t>Chi sự nghiệp phát thanh - truyền hình</t>
  </si>
  <si>
    <t>9</t>
  </si>
  <si>
    <t>Chi sự nghiệp kinh tế, thủy lợi, giao thông</t>
  </si>
  <si>
    <t>10</t>
  </si>
  <si>
    <t>11</t>
  </si>
  <si>
    <t>Chi đảm bảo xã hội</t>
  </si>
  <si>
    <t>12</t>
  </si>
  <si>
    <t>13</t>
  </si>
  <si>
    <t>Chi tiết kiệm 10% cải cách tiền lương</t>
  </si>
  <si>
    <t>14</t>
  </si>
  <si>
    <t>15</t>
  </si>
  <si>
    <t>Chi khác ngân sách</t>
  </si>
  <si>
    <t>16</t>
  </si>
  <si>
    <t>Chi ngân sách xã</t>
  </si>
  <si>
    <t>Dự phòng ngân sách</t>
  </si>
  <si>
    <t>Thu chuyển nguồn năm 2013 sang 2014</t>
  </si>
  <si>
    <t>Thu kết dư</t>
  </si>
  <si>
    <t>3</t>
  </si>
  <si>
    <t>TỔNG CỘNG</t>
  </si>
  <si>
    <t>CHI SỰ NGHIỆP KINH TẾ</t>
  </si>
  <si>
    <t>CHI SỰ NGHIỆP VĂN HOÁ-XÃ HỘI</t>
  </si>
  <si>
    <t>Đảm bảo xã hội</t>
  </si>
  <si>
    <t>Sự nghiệp khoa học</t>
  </si>
  <si>
    <t>Sự nghiệp môi trường</t>
  </si>
  <si>
    <t>Sự nghiệp giáo dục</t>
  </si>
  <si>
    <t>Sự nghiệp đào tạo và dạy nghề</t>
  </si>
  <si>
    <t xml:space="preserve"> - Trung tâm GDNN-GDTX</t>
  </si>
  <si>
    <t xml:space="preserve"> - Học phí</t>
  </si>
  <si>
    <t>CHI QUẢN LÝ HÀNH CHÍNH</t>
  </si>
  <si>
    <t>QUẢN LÝ NHÀ NƯỚC</t>
  </si>
  <si>
    <t>Phòng Kinh tế và Hạ tầng</t>
  </si>
  <si>
    <t>Phòng Nông nghiệp và PTNT</t>
  </si>
  <si>
    <t>Phòng Văn hoá và Thông tin</t>
  </si>
  <si>
    <t>Phòng Tư pháp</t>
  </si>
  <si>
    <t>Phòng Tài chính Kế hoạch</t>
  </si>
  <si>
    <t>Phòng Nội vụ</t>
  </si>
  <si>
    <t>ĐOÀN THỂ</t>
  </si>
  <si>
    <t>Hội Liên hiệp phụ nữ</t>
  </si>
  <si>
    <t>Hội Nông dân</t>
  </si>
  <si>
    <t>Mặt trận Tổ quốc</t>
  </si>
  <si>
    <t>Hội Cựu chiến binh</t>
  </si>
  <si>
    <t xml:space="preserve">C </t>
  </si>
  <si>
    <t>CÁC TỔ CHỨC XÃ HỘI</t>
  </si>
  <si>
    <t>Hội Luật gia</t>
  </si>
  <si>
    <t>Hội Cựu giáo chức</t>
  </si>
  <si>
    <t>D</t>
  </si>
  <si>
    <t>KINH PHÍ ĐẢNG</t>
  </si>
  <si>
    <t>E</t>
  </si>
  <si>
    <t>CÁC ĐƠN VỊ KHÁC</t>
  </si>
  <si>
    <t xml:space="preserve">IV </t>
  </si>
  <si>
    <t>CHI AN NINH QUỐC PHÒNG</t>
  </si>
  <si>
    <t>Công an</t>
  </si>
  <si>
    <t>Quân sự</t>
  </si>
  <si>
    <t>V</t>
  </si>
  <si>
    <t>CHI KHÁC NGÂN SÁCH</t>
  </si>
  <si>
    <t>CHI KHEN THƯỞNG</t>
  </si>
  <si>
    <t>CHI DỰ PHÒNG NGÂN SÁCH</t>
  </si>
  <si>
    <t>Sự nghiệp kinh tế</t>
  </si>
  <si>
    <t>F</t>
  </si>
  <si>
    <t>G</t>
  </si>
  <si>
    <t>Số 
thứ tự</t>
  </si>
  <si>
    <t>Đơn vị</t>
  </si>
  <si>
    <t xml:space="preserve"> Tổng chi ngân 
sách xã, thị trấn </t>
  </si>
  <si>
    <t xml:space="preserve"> Ngân sách xã, 
thị trấn được hưởng </t>
  </si>
  <si>
    <t xml:space="preserve"> Tổng thu NSNN 
trên địa bàn xã, thị trấn </t>
  </si>
  <si>
    <t xml:space="preserve"> Tổng chi NS xã, thị trấn </t>
  </si>
  <si>
    <t xml:space="preserve"> Ngân sách các xã, thị trấn được hưởng </t>
  </si>
  <si>
    <t xml:space="preserve"> Tổng 
số </t>
  </si>
  <si>
    <t xml:space="preserve"> Số bổ sung 
từ NS cấp huyện </t>
  </si>
  <si>
    <t xml:space="preserve"> Số bổ sung trong cân đối </t>
  </si>
  <si>
    <t>Thị trấn Cây Dương</t>
  </si>
  <si>
    <t>Thị trấn Kinh Cùng</t>
  </si>
  <si>
    <t>Thị trấn Búng Tàu</t>
  </si>
  <si>
    <t>Xã Tân Bình</t>
  </si>
  <si>
    <t>Xã Thạnh Hòa</t>
  </si>
  <si>
    <t>Xã Long Thạnh</t>
  </si>
  <si>
    <t>Xã Tân Long</t>
  </si>
  <si>
    <t>Xã Phụng Hiệp</t>
  </si>
  <si>
    <t>Xã Hiệp Hưng</t>
  </si>
  <si>
    <t>Xã Tân Phước Hưng</t>
  </si>
  <si>
    <t>Xã Phương Phú</t>
  </si>
  <si>
    <t>Xã Phương Bình</t>
  </si>
  <si>
    <t>Xã Hòa An</t>
  </si>
  <si>
    <t>Xã Hòa Mỹ</t>
  </si>
  <si>
    <t>Xã Bình Thành</t>
  </si>
  <si>
    <t>Tổng thu NSNN trên địa bàn</t>
  </si>
  <si>
    <t>Thu từ sản xuất kinh doanh trong nước</t>
  </si>
  <si>
    <t>Thu thuế công thương nghiệp ngoài quốc doanh</t>
  </si>
  <si>
    <t>Thu thuế thu nhập cá nhân</t>
  </si>
  <si>
    <t>Thu lệ phí trước bạ</t>
  </si>
  <si>
    <t>Thu phí - lệ phí</t>
  </si>
  <si>
    <t>Thu phạt ATGT</t>
  </si>
  <si>
    <t>Thu trợ cấp</t>
  </si>
  <si>
    <t>Phụ biểu số 06</t>
  </si>
  <si>
    <t>Phụ biểu số 07</t>
  </si>
  <si>
    <t>Phụ biểu số 05</t>
  </si>
  <si>
    <t>Chi từ kết dư ngân sách huyện</t>
  </si>
  <si>
    <t>Ngân sách cấp huyện</t>
  </si>
  <si>
    <t>Nguồn thu ngân sách cấp huyện</t>
  </si>
  <si>
    <t xml:space="preserve"> Tổng thu NSNN trên địa bàn </t>
  </si>
  <si>
    <t>Thu phạt VPHC do cơ quan thuế xử lý</t>
  </si>
  <si>
    <t>- Thu phạt VPHC do cơ quan thuế xử lý</t>
  </si>
  <si>
    <t>Chuyển nguồn CCTL</t>
  </si>
  <si>
    <t>Kinh phí hỗ trợ sản xuất đất trồng lúa theo NĐ số 62/2019/NĐ-CP và NĐ số 35/2015/NĐ-CP</t>
  </si>
  <si>
    <t>Thu ngân sách huyện hưởng theo phân cấp</t>
  </si>
  <si>
    <t xml:space="preserve"> - Các khoản thu NS huyện hưởng 100%</t>
  </si>
  <si>
    <t xml:space="preserve"> - Các khoản thu phân chia  NS huyện hưởng theo tỷ phần trăm (%)</t>
  </si>
  <si>
    <t>Bổ sung từ ngân sách cấp tỉnh</t>
  </si>
  <si>
    <t xml:space="preserve"> - Bổ sung cân đối</t>
  </si>
  <si>
    <t xml:space="preserve"> - Bổ sung có mục tiêu</t>
  </si>
  <si>
    <t>Chi ngân sách địa phương</t>
  </si>
  <si>
    <t>Dự phòng</t>
  </si>
  <si>
    <t>Chi ngân sách huyện</t>
  </si>
  <si>
    <t>Chi thuộc nhiệm vụ của cấp huyện huyện</t>
  </si>
  <si>
    <t>Bổ sung cho ngân sách xã, phường, thị trấn</t>
  </si>
  <si>
    <t>Ngân ngân sách xã, phường, thị trấn</t>
  </si>
  <si>
    <t>Nguồn thu ngân sách xã, thị trấn</t>
  </si>
  <si>
    <t>Thu ngân sách huưởng theo phân cấp</t>
  </si>
  <si>
    <t xml:space="preserve"> - Các khoản thu NS xã hưởng 100%</t>
  </si>
  <si>
    <t xml:space="preserve"> - Các khoản thu phân chia NS xã hưởng theo tỷ phần trăm (%)</t>
  </si>
  <si>
    <t>Thu bổ sung từ ngân sách cấp trên</t>
  </si>
  <si>
    <t>Chi ngân sách xã, thị trấn</t>
  </si>
  <si>
    <r>
      <t>(1) Doanh nghiệp nhà nước do trung</t>
    </r>
    <r>
      <rPr>
        <sz val="14"/>
        <rFont val="Times New Roman"/>
        <family val="1"/>
      </rPr>
      <t> </t>
    </r>
    <r>
      <rPr>
        <i/>
        <sz val="14"/>
        <rFont val="Times New Roman"/>
        <family val="1"/>
      </rPr>
      <t>ương quản lý là doanh nghiệp do bộ, cơ quan ngang bộ, cơ quan thuộc Chính phủ, cơ quan khác ở</t>
    </r>
    <r>
      <rPr>
        <sz val="14"/>
        <rFont val="Times New Roman"/>
        <family val="1"/>
      </rPr>
      <t> </t>
    </r>
    <r>
      <rPr>
        <i/>
        <sz val="14"/>
        <rFont val="Times New Roman"/>
        <family val="1"/>
      </rPr>
      <t>trung ương đại diện Nhà nước chủ sở hữu 100% vốn điều lệ.</t>
    </r>
  </si>
  <si>
    <r>
      <t>(2) Doanh nghiệp nhà nước do địa phương quản lý</t>
    </r>
    <r>
      <rPr>
        <sz val="14"/>
        <rFont val="Times New Roman"/>
        <family val="1"/>
      </rPr>
      <t> </t>
    </r>
    <r>
      <rPr>
        <i/>
        <sz val="14"/>
        <rFont val="Times New Roman"/>
        <family val="1"/>
      </rPr>
      <t>là doanh nghiệp do Ủy ban nhân dân cấp tỉnh đại diện Nhà nước chủ sở hữu 100% vốn điều lệ.</t>
    </r>
  </si>
  <si>
    <r>
      <t>(3) Doanh nghiệp có</t>
    </r>
    <r>
      <rPr>
        <sz val="14"/>
        <rFont val="Times New Roman"/>
        <family val="1"/>
      </rPr>
      <t> </t>
    </r>
    <r>
      <rPr>
        <i/>
        <sz val="14"/>
        <rFont val="Times New Roman"/>
        <family val="1"/>
      </rPr>
      <t>vốn</t>
    </r>
    <r>
      <rPr>
        <sz val="14"/>
        <rFont val="Times New Roman"/>
        <family val="1"/>
      </rPr>
      <t> </t>
    </r>
    <r>
      <rPr>
        <i/>
        <sz val="14"/>
        <rFont val="Times New Roman"/>
        <family val="1"/>
      </rPr>
      <t>đầu</t>
    </r>
    <r>
      <rPr>
        <sz val="14"/>
        <rFont val="Times New Roman"/>
        <family val="1"/>
      </rPr>
      <t> </t>
    </r>
    <r>
      <rPr>
        <i/>
        <sz val="14"/>
        <rFont val="Times New Roman"/>
        <family val="1"/>
      </rPr>
      <t>tư nước ngoài là các doanh nghiệp mà phần vốn do tổ chức, cá nhân nước ngoài sở hữu từ 51% vốn điều lệ trở lên hoặc có đa số thành viên hợp danh là cá nhân nước ngoài đối với tổ chức kinh tế là công ty hợp danh.</t>
    </r>
  </si>
  <si>
    <t>Thu chuyển nguồn sang năm sau</t>
  </si>
  <si>
    <t>17</t>
  </si>
  <si>
    <t>18</t>
  </si>
  <si>
    <t>19</t>
  </si>
  <si>
    <t>Chi thực hiện các chế độ chính sách</t>
  </si>
  <si>
    <t xml:space="preserve"> - Phòng Nông nghiệp và PTNT (CT MTQG 098)</t>
  </si>
  <si>
    <t xml:space="preserve"> - Phòng Nông nghiệp và PTNT (CT MTQG 075)</t>
  </si>
  <si>
    <t>20</t>
  </si>
  <si>
    <t>21</t>
  </si>
  <si>
    <t xml:space="preserve">Chuyển nguồn tiết kiệm chi </t>
  </si>
  <si>
    <t>Sự nghiệp văn hóa xã hội</t>
  </si>
  <si>
    <t>1.1</t>
  </si>
  <si>
    <t>Sự nghiệp văn hóa</t>
  </si>
  <si>
    <t>Sự nghiệp thông tin</t>
  </si>
  <si>
    <t>Sự nghiệp truyền thanh</t>
  </si>
  <si>
    <t>Sự nghiệp thể thao</t>
  </si>
  <si>
    <t>1.2</t>
  </si>
  <si>
    <t>Ban quản lý dự án</t>
  </si>
  <si>
    <t>Chi sự nghiệp Văn hóa - xã hội (BQLDA)</t>
  </si>
  <si>
    <t>DỰ TOÁN THU NGÂN SÁCH NHÀ NƯỚC NĂM 2024</t>
  </si>
  <si>
    <t>DỰ TOÁN CHI BỔ SUNG TỪ NGÂN SÁCH CẤP HUYỆN CHO NGÂN SÁCH CẤP XÃ, THỊ TRẤN NĂM 2024</t>
  </si>
  <si>
    <t>Kế hoạch giao đầu năm 2024</t>
  </si>
  <si>
    <t xml:space="preserve"> Trợ cấp bổ sung mục tiêu năm 2024</t>
  </si>
  <si>
    <t xml:space="preserve"> Thu kết dư NS năm 2023</t>
  </si>
  <si>
    <t xml:space="preserve"> Thu chuyển nguồn NS năm 2023 sang năm 2024</t>
  </si>
  <si>
    <t>Tổng thu</t>
  </si>
  <si>
    <t>Tổng chi</t>
  </si>
  <si>
    <t>Tồn quỹ</t>
  </si>
  <si>
    <t>Chi chuyển nguồn</t>
  </si>
  <si>
    <t>THU, CHI 2023</t>
  </si>
  <si>
    <t>ĐÁNH GIÁ THỰC HIỆN THU NGÂN SÁCH NHÀ NƯỚC THEO LĨNH VỰC NĂM 2024</t>
  </si>
  <si>
    <t>CÂN ĐỐI NGUỒN THU, CHI NGÂN SÁCH ĐỊA PHƯƠNG NĂM 2024</t>
  </si>
  <si>
    <t>DỰ TOÁN CHI NGÂN SÁCH NHÀ NƯỚC NĂM 2024</t>
  </si>
  <si>
    <t>Kinh phí hỗ trợ sử dụng sản phẩm, dịch vụ công ích</t>
  </si>
  <si>
    <t>1.3</t>
  </si>
  <si>
    <t>DỰ TOÁN CHI NGÂN SÁCH CHO TỪNG ĐƠN VỊ NĂM 2024</t>
  </si>
  <si>
    <t xml:space="preserve"> - Phòng Tài chính Kế hoạch (082)</t>
  </si>
  <si>
    <t>Hội Đông y</t>
  </si>
  <si>
    <t>Chi sự nghiệp Văn hóa - xã hội (P.VHTT)</t>
  </si>
  <si>
    <t>22</t>
  </si>
  <si>
    <t>CÂN ĐỐI DỰ TOÁN NGÂN SÁCH ĐỊA PHƯƠNG NĂM 2024</t>
  </si>
  <si>
    <t xml:space="preserve"> - Phòng Nội vụ (085)</t>
  </si>
  <si>
    <t xml:space="preserve"> - Phòng Nội vụ (082)</t>
  </si>
  <si>
    <t xml:space="preserve"> - Huyện đoàn</t>
  </si>
  <si>
    <t>Phụ biểu số 01</t>
  </si>
  <si>
    <t>Phụ biểu số 02</t>
  </si>
  <si>
    <t>Phụ biểu số 03</t>
  </si>
  <si>
    <t>Phụ biểu số 04</t>
  </si>
  <si>
    <t>Dự toán đầu năm 2024</t>
  </si>
  <si>
    <t>6=3-2</t>
  </si>
  <si>
    <t>7=3/2</t>
  </si>
  <si>
    <t>4=2-1</t>
  </si>
  <si>
    <t>5=2/1</t>
  </si>
  <si>
    <t>So sánh (%)</t>
  </si>
  <si>
    <t>Chi ủy thác và chi hỗ trợ các đơn vị TW</t>
  </si>
  <si>
    <t>Dự toán điều chỉnh năm 2024 (Lần 2)</t>
  </si>
  <si>
    <t>Dự toán điều chỉnh năm 2024 (Lần 3)</t>
  </si>
  <si>
    <t>So sánh dự toán đầu năm/dự toán điều chỉnh (Lần 2)</t>
  </si>
  <si>
    <t>So sánh dự toán điều chỉnh (lần 2)/dự toán điều chỉnh (lần 3)</t>
  </si>
  <si>
    <t>Dự toán đầu năm/dự toán điều chỉnh (Lần 2)</t>
  </si>
  <si>
    <t>Dự toán điều chỉnh (Lần 2)/dự toán điều chỉnh (Lần 3)</t>
  </si>
  <si>
    <t xml:space="preserve"> Kế hoạch điều chỉnh năm 2024 (Lần 2)</t>
  </si>
  <si>
    <t>Dự toán điều chỉnh năm 2024 (Lần 2)</t>
  </si>
  <si>
    <t>So sánh dự toán đầu năm/dự toán điều chỉnh (Lần 2)</t>
  </si>
  <si>
    <t>So sánh dự toán điều chỉnh (Lần 2)/dự toán điều chỉnh (Lần 3)</t>
  </si>
  <si>
    <t xml:space="preserve"> Kế hoạch điều chỉnh năm 2024 (Lần 3)</t>
  </si>
  <si>
    <t xml:space="preserve"> - Hội Người cao tuổi</t>
  </si>
  <si>
    <t xml:space="preserve"> - Phòng Nông nghiệp và PTNT (082)</t>
  </si>
  <si>
    <t xml:space="preserve"> - Văn phòng Huyện ủy (082)</t>
  </si>
  <si>
    <t>Chi mục tiêu, chi nộp trả ngân sách</t>
  </si>
  <si>
    <t>(Kèm theo Tờ trình số:           /TTr-UBND ngày      /11/2024 của UBND huyện Phụng Hiệp)</t>
  </si>
  <si>
    <t>Chi QLNN, Đảng, Đoàn thể, các tổ chức XH, chi khác</t>
  </si>
  <si>
    <t>Trung tâm Văn hóa TT và Truyền thanh</t>
  </si>
  <si>
    <t xml:space="preserve"> - Trung tâm Chính trị huyện</t>
  </si>
  <si>
    <t xml:space="preserve"> - Phòng Văn hóa TT và TT (CT MTQG 098-00476)</t>
  </si>
  <si>
    <t xml:space="preserve"> - Phòng Lao động - TBXH (CT MTQG 098)</t>
  </si>
  <si>
    <t xml:space="preserve"> - Phòng Lao động - TBXH (CT MTQG 075)</t>
  </si>
  <si>
    <t xml:space="preserve"> - Phòng Lao động - TBXH (098)</t>
  </si>
  <si>
    <t xml:space="preserve"> - Văn phòng HĐND và UBND (082)</t>
  </si>
  <si>
    <t xml:space="preserve"> - Văn phòng HĐND và UBND (085)</t>
  </si>
  <si>
    <t xml:space="preserve"> - Trung tâm Văn hóa TT và TT</t>
  </si>
  <si>
    <t xml:space="preserve"> - Trung tâm Chính trị huyện (082)</t>
  </si>
  <si>
    <t>Văn phòng HĐND và UBND</t>
  </si>
  <si>
    <t>Phòng Tài nguyên và Môi trường</t>
  </si>
  <si>
    <t>Thanh tra huyện</t>
  </si>
  <si>
    <t>Phòng Lao động - TBXH</t>
  </si>
  <si>
    <t>Phòng Giáo dục và Đào tạo</t>
  </si>
  <si>
    <t>BCH Huyện đoàn</t>
  </si>
  <si>
    <t>Hội Người cao tuổi</t>
  </si>
  <si>
    <t>Hội Khuyến học</t>
  </si>
  <si>
    <t>Hội Chữ thập đỏ</t>
  </si>
  <si>
    <t>Hội Người mù-CDDC-KT và BVQTE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</si>
</sst>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_-* #,##0\ _₫_-;\-* #,##0\ _₫_-;_-* &quot;-&quot;??\ _₫_-;_-@_-"/>
  </numFmts>
  <fonts count="18" x14ac:knownFonts="1">
    <font>
      <sz val="12"/>
      <name val=".VnArial Narrow"/>
    </font>
    <font>
      <sz val="12"/>
      <name val=".VnArial Narrow"/>
      <family val="2"/>
    </font>
    <font>
      <sz val="14"/>
      <name val="Times New Roman"/>
      <family val="1"/>
    </font>
    <font>
      <sz val="8"/>
      <name val=".VnArial Narrow"/>
      <family val="2"/>
    </font>
    <font>
      <i/>
      <sz val="12"/>
      <name val="Times New Roman"/>
      <family val="1"/>
    </font>
    <font>
      <b/>
      <sz val="14"/>
      <name val="Times New Roman"/>
      <family val="1"/>
    </font>
    <font>
      <b/>
      <sz val="9"/>
      <color indexed="81"/>
      <name val="Segoe UI"/>
      <family val="2"/>
      <charset val="163"/>
    </font>
    <font>
      <sz val="9"/>
      <color indexed="81"/>
      <name val="Segoe UI"/>
      <family val="2"/>
      <charset val="163"/>
    </font>
    <font>
      <sz val="13"/>
      <name val="Times New Roman"/>
      <family val="1"/>
    </font>
    <font>
      <b/>
      <sz val="13"/>
      <name val="Times New Roman"/>
      <family val="1"/>
    </font>
    <font>
      <b/>
      <u/>
      <sz val="14"/>
      <name val="Times New Roman"/>
      <family val="1"/>
    </font>
    <font>
      <i/>
      <sz val="13"/>
      <name val="Times New Roman"/>
      <family val="1"/>
    </font>
    <font>
      <sz val="13"/>
      <name val=".VnArial Narrow"/>
      <family val="2"/>
    </font>
    <font>
      <i/>
      <sz val="14"/>
      <name val="Times New Roman"/>
      <family val="1"/>
    </font>
    <font>
      <u/>
      <sz val="14"/>
      <name val="Times New Roman"/>
      <family val="1"/>
    </font>
    <font>
      <b/>
      <i/>
      <sz val="14"/>
      <name val="Times New Roman"/>
      <family val="1"/>
    </font>
    <font>
      <b/>
      <i/>
      <u/>
      <sz val="14"/>
      <name val="Times New Roman"/>
      <family val="1"/>
    </font>
    <font>
      <sz val="14"/>
      <color rgb="FFC00000"/>
      <name val="Times New Roman"/>
      <family val="1"/>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234">
    <xf numFmtId="0" fontId="0" fillId="0" borderId="0" xfId="0"/>
    <xf numFmtId="0" fontId="5" fillId="0" borderId="1" xfId="0" applyFont="1" applyBorder="1" applyAlignment="1">
      <alignment horizontal="center" vertical="center"/>
    </xf>
    <xf numFmtId="164" fontId="5" fillId="0" borderId="1" xfId="1" applyNumberFormat="1" applyFont="1" applyBorder="1" applyAlignment="1">
      <alignment horizontal="center" wrapText="1"/>
    </xf>
    <xf numFmtId="164" fontId="8" fillId="0" borderId="0" xfId="1" applyNumberFormat="1" applyFont="1"/>
    <xf numFmtId="164" fontId="9" fillId="0" borderId="0" xfId="1" applyNumberFormat="1" applyFont="1" applyAlignment="1"/>
    <xf numFmtId="164" fontId="9" fillId="0" borderId="0" xfId="1" applyNumberFormat="1" applyFont="1" applyAlignment="1">
      <alignment horizontal="right"/>
    </xf>
    <xf numFmtId="0" fontId="8" fillId="0" borderId="0" xfId="0" applyFont="1"/>
    <xf numFmtId="164" fontId="9" fillId="0" borderId="0" xfId="1" applyNumberFormat="1" applyFont="1" applyBorder="1" applyAlignment="1">
      <alignment vertical="center" wrapText="1"/>
    </xf>
    <xf numFmtId="0" fontId="9" fillId="0" borderId="0" xfId="0" applyFont="1" applyAlignment="1">
      <alignment vertical="center"/>
    </xf>
    <xf numFmtId="0" fontId="9" fillId="0" borderId="0" xfId="0" applyFont="1"/>
    <xf numFmtId="0" fontId="12" fillId="0" borderId="0" xfId="0" applyFont="1"/>
    <xf numFmtId="164" fontId="12" fillId="0" borderId="0" xfId="0" applyNumberFormat="1" applyFont="1"/>
    <xf numFmtId="164" fontId="12" fillId="0" borderId="0" xfId="1" applyNumberFormat="1" applyFont="1"/>
    <xf numFmtId="43" fontId="2" fillId="0" borderId="0" xfId="1" applyFont="1"/>
    <xf numFmtId="0" fontId="2" fillId="0" borderId="0" xfId="0" applyFont="1"/>
    <xf numFmtId="0" fontId="5" fillId="0" borderId="0" xfId="0" applyFont="1"/>
    <xf numFmtId="0" fontId="13" fillId="0" borderId="0" xfId="0" applyFont="1"/>
    <xf numFmtId="0" fontId="14" fillId="0" borderId="0" xfId="0" applyFont="1"/>
    <xf numFmtId="164" fontId="8" fillId="0" borderId="0" xfId="1" applyNumberFormat="1" applyFont="1" applyAlignment="1"/>
    <xf numFmtId="164" fontId="8" fillId="0" borderId="0" xfId="1" applyNumberFormat="1" applyFont="1" applyFill="1"/>
    <xf numFmtId="164" fontId="13" fillId="0" borderId="0" xfId="1" applyNumberFormat="1" applyFont="1" applyAlignment="1">
      <alignment horizontal="centerContinuous"/>
    </xf>
    <xf numFmtId="3" fontId="2" fillId="0" borderId="0" xfId="0" applyNumberFormat="1" applyFont="1" applyAlignment="1">
      <alignment horizontal="center"/>
    </xf>
    <xf numFmtId="164" fontId="2" fillId="0" borderId="0" xfId="1" applyNumberFormat="1" applyFont="1"/>
    <xf numFmtId="0" fontId="2" fillId="0" borderId="0" xfId="0" applyFont="1" applyAlignment="1">
      <alignment horizontal="center"/>
    </xf>
    <xf numFmtId="164" fontId="5" fillId="0" borderId="1" xfId="1" applyNumberFormat="1" applyFont="1" applyBorder="1"/>
    <xf numFmtId="0" fontId="2" fillId="0" borderId="1" xfId="0" applyFont="1" applyBorder="1" applyAlignment="1">
      <alignment horizontal="justify"/>
    </xf>
    <xf numFmtId="164" fontId="2" fillId="0" borderId="1" xfId="1" applyNumberFormat="1" applyFont="1" applyBorder="1"/>
    <xf numFmtId="43" fontId="2" fillId="0" borderId="1" xfId="1" applyFont="1" applyBorder="1" applyAlignment="1">
      <alignment horizontal="center"/>
    </xf>
    <xf numFmtId="0" fontId="5" fillId="0" borderId="1" xfId="0" applyFont="1" applyBorder="1" applyAlignment="1">
      <alignment horizontal="justify"/>
    </xf>
    <xf numFmtId="164" fontId="2" fillId="0" borderId="1" xfId="1" applyNumberFormat="1" applyFont="1" applyFill="1" applyBorder="1"/>
    <xf numFmtId="0" fontId="2" fillId="0" borderId="1" xfId="0" quotePrefix="1" applyFont="1" applyBorder="1" applyAlignment="1">
      <alignment horizontal="center" vertical="top"/>
    </xf>
    <xf numFmtId="0" fontId="2" fillId="0" borderId="1" xfId="0" quotePrefix="1" applyFont="1" applyBorder="1" applyAlignment="1">
      <alignment horizontal="center"/>
    </xf>
    <xf numFmtId="0" fontId="5" fillId="0" borderId="0" xfId="0" applyFont="1" applyAlignment="1">
      <alignment horizontal="center"/>
    </xf>
    <xf numFmtId="0" fontId="5" fillId="0" borderId="1" xfId="0" applyFont="1" applyBorder="1" applyAlignment="1">
      <alignment horizontal="center" vertical="top"/>
    </xf>
    <xf numFmtId="164" fontId="5" fillId="0" borderId="1" xfId="1" applyNumberFormat="1" applyFont="1" applyBorder="1" applyAlignment="1">
      <alignment horizontal="centerContinuous"/>
    </xf>
    <xf numFmtId="0" fontId="2" fillId="0" borderId="1" xfId="0" applyFont="1" applyBorder="1" applyAlignment="1">
      <alignment horizontal="justify" wrapText="1"/>
    </xf>
    <xf numFmtId="164" fontId="2" fillId="0" borderId="1" xfId="1" quotePrefix="1" applyNumberFormat="1" applyFont="1" applyFill="1" applyBorder="1"/>
    <xf numFmtId="164" fontId="5" fillId="0" borderId="0" xfId="1" applyNumberFormat="1" applyFont="1" applyAlignment="1">
      <alignment horizontal="centerContinuous"/>
    </xf>
    <xf numFmtId="164" fontId="2" fillId="0" borderId="0" xfId="1" applyNumberFormat="1" applyFont="1" applyAlignment="1">
      <alignment horizontal="centerContinuous"/>
    </xf>
    <xf numFmtId="0" fontId="5" fillId="0" borderId="0" xfId="0" applyFont="1" applyAlignment="1">
      <alignment horizontal="centerContinuous"/>
    </xf>
    <xf numFmtId="0" fontId="2" fillId="0" borderId="1" xfId="0" applyFont="1" applyBorder="1" applyAlignment="1">
      <alignment horizontal="center"/>
    </xf>
    <xf numFmtId="0" fontId="16" fillId="0" borderId="0" xfId="0" applyFont="1"/>
    <xf numFmtId="3" fontId="2" fillId="0" borderId="0" xfId="0" applyNumberFormat="1" applyFont="1"/>
    <xf numFmtId="3" fontId="13" fillId="0" borderId="0" xfId="0" applyNumberFormat="1" applyFont="1" applyAlignment="1">
      <alignment horizontal="centerContinuous"/>
    </xf>
    <xf numFmtId="3" fontId="5" fillId="0" borderId="0" xfId="0" applyNumberFormat="1" applyFont="1" applyAlignment="1">
      <alignment horizontal="centerContinuous"/>
    </xf>
    <xf numFmtId="3" fontId="2" fillId="0" borderId="0" xfId="0" applyNumberFormat="1" applyFont="1" applyAlignment="1">
      <alignment horizontal="centerContinuous"/>
    </xf>
    <xf numFmtId="164" fontId="2" fillId="0" borderId="1" xfId="1" applyNumberFormat="1" applyFont="1" applyBorder="1" applyAlignment="1">
      <alignment horizontal="right"/>
    </xf>
    <xf numFmtId="3" fontId="2" fillId="0" borderId="1" xfId="0" applyNumberFormat="1" applyFont="1" applyBorder="1"/>
    <xf numFmtId="0" fontId="5" fillId="0" borderId="1" xfId="0" applyFont="1" applyBorder="1" applyAlignment="1">
      <alignment horizontal="justify" vertical="center"/>
    </xf>
    <xf numFmtId="0" fontId="5" fillId="0" borderId="0" xfId="0" applyFont="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5" fillId="2" borderId="1" xfId="0" applyFont="1" applyFill="1" applyBorder="1" applyAlignment="1">
      <alignment horizontal="center" vertical="center" wrapText="1"/>
    </xf>
    <xf numFmtId="0" fontId="5" fillId="0" borderId="0" xfId="0" applyFont="1" applyAlignment="1">
      <alignment vertical="center"/>
    </xf>
    <xf numFmtId="0" fontId="5" fillId="2" borderId="2" xfId="0" applyFont="1" applyFill="1" applyBorder="1" applyAlignment="1">
      <alignment horizontal="center" vertical="center" wrapText="1"/>
    </xf>
    <xf numFmtId="0" fontId="5" fillId="2" borderId="2" xfId="0" applyFont="1" applyFill="1" applyBorder="1" applyAlignment="1">
      <alignment vertical="center" wrapText="1"/>
    </xf>
    <xf numFmtId="165" fontId="5" fillId="2" borderId="2" xfId="1" applyNumberFormat="1" applyFont="1" applyFill="1" applyBorder="1" applyAlignment="1">
      <alignment horizontal="right" vertical="center" wrapText="1"/>
    </xf>
    <xf numFmtId="165" fontId="5" fillId="0" borderId="0" xfId="0" applyNumberFormat="1" applyFont="1" applyAlignment="1">
      <alignment vertical="center"/>
    </xf>
    <xf numFmtId="0" fontId="2" fillId="2" borderId="2" xfId="0" applyFont="1" applyFill="1" applyBorder="1" applyAlignment="1">
      <alignment horizontal="center" vertical="center" wrapText="1"/>
    </xf>
    <xf numFmtId="0" fontId="2" fillId="2" borderId="2" xfId="0" applyFont="1" applyFill="1" applyBorder="1" applyAlignment="1">
      <alignment vertical="center" wrapText="1"/>
    </xf>
    <xf numFmtId="165" fontId="2" fillId="2" borderId="2" xfId="1" applyNumberFormat="1" applyFont="1" applyFill="1" applyBorder="1" applyAlignment="1">
      <alignment horizontal="right" vertical="center" wrapText="1"/>
    </xf>
    <xf numFmtId="0" fontId="13" fillId="0" borderId="0" xfId="0" applyFont="1" applyAlignment="1">
      <alignment vertical="center"/>
    </xf>
    <xf numFmtId="0" fontId="2" fillId="2" borderId="3" xfId="0" applyFont="1" applyFill="1" applyBorder="1" applyAlignment="1">
      <alignment horizontal="center" vertical="center" wrapText="1"/>
    </xf>
    <xf numFmtId="0" fontId="2" fillId="2" borderId="3" xfId="0" applyFont="1" applyFill="1" applyBorder="1" applyAlignment="1">
      <alignment vertical="center" wrapText="1"/>
    </xf>
    <xf numFmtId="165" fontId="2" fillId="2" borderId="3" xfId="1" applyNumberFormat="1" applyFont="1" applyFill="1" applyBorder="1" applyAlignment="1">
      <alignment horizontal="right" vertical="center" wrapText="1"/>
    </xf>
    <xf numFmtId="0" fontId="5" fillId="2" borderId="4" xfId="0" applyFont="1" applyFill="1" applyBorder="1" applyAlignment="1">
      <alignment horizontal="center" vertical="center" wrapText="1"/>
    </xf>
    <xf numFmtId="0" fontId="5" fillId="2" borderId="4" xfId="0" applyFont="1" applyFill="1" applyBorder="1" applyAlignment="1">
      <alignment vertical="center" wrapText="1"/>
    </xf>
    <xf numFmtId="165" fontId="2" fillId="2" borderId="4" xfId="1" applyNumberFormat="1" applyFont="1" applyFill="1" applyBorder="1" applyAlignment="1">
      <alignment horizontal="right" vertical="center" wrapText="1"/>
    </xf>
    <xf numFmtId="0" fontId="15" fillId="0" borderId="0" xfId="0" applyFont="1" applyAlignment="1">
      <alignment vertical="center"/>
    </xf>
    <xf numFmtId="0" fontId="15" fillId="0" borderId="0" xfId="0" applyFont="1"/>
    <xf numFmtId="164" fontId="2" fillId="0" borderId="0" xfId="1" applyNumberFormat="1" applyFont="1" applyFill="1"/>
    <xf numFmtId="164" fontId="13" fillId="0" borderId="5" xfId="0" applyNumberFormat="1" applyFont="1" applyBorder="1"/>
    <xf numFmtId="164" fontId="13" fillId="0" borderId="0" xfId="0" applyNumberFormat="1" applyFont="1"/>
    <xf numFmtId="0" fontId="13" fillId="0" borderId="1" xfId="0" applyFont="1" applyBorder="1" applyAlignment="1">
      <alignment horizontal="center"/>
    </xf>
    <xf numFmtId="0" fontId="13" fillId="0" borderId="1" xfId="0" quotePrefix="1" applyFont="1" applyBorder="1" applyAlignment="1">
      <alignment horizontal="center"/>
    </xf>
    <xf numFmtId="164" fontId="9" fillId="0" borderId="0" xfId="1" applyNumberFormat="1" applyFont="1" applyFill="1" applyAlignment="1">
      <alignment horizontal="right"/>
    </xf>
    <xf numFmtId="164" fontId="12" fillId="0" borderId="0" xfId="1" applyNumberFormat="1" applyFont="1" applyFill="1"/>
    <xf numFmtId="0" fontId="5" fillId="0" borderId="1" xfId="0" applyFont="1" applyBorder="1" applyAlignment="1">
      <alignment horizontal="center"/>
    </xf>
    <xf numFmtId="164" fontId="9" fillId="0" borderId="1" xfId="1" applyNumberFormat="1" applyFont="1" applyBorder="1" applyAlignment="1">
      <alignment horizontal="center" vertical="center" wrapText="1"/>
    </xf>
    <xf numFmtId="164" fontId="9" fillId="0" borderId="1" xfId="1" applyNumberFormat="1" applyFont="1" applyFill="1" applyBorder="1" applyAlignment="1">
      <alignment horizontal="center" vertical="center" wrapText="1"/>
    </xf>
    <xf numFmtId="0" fontId="13" fillId="0" borderId="0" xfId="0" applyFont="1" applyAlignment="1">
      <alignment horizontal="center" vertical="center"/>
    </xf>
    <xf numFmtId="0" fontId="13" fillId="0" borderId="1" xfId="0" applyFont="1" applyBorder="1" applyAlignment="1">
      <alignment horizontal="center" vertical="center"/>
    </xf>
    <xf numFmtId="164" fontId="13" fillId="0" borderId="1" xfId="1" quotePrefix="1" applyNumberFormat="1" applyFont="1" applyBorder="1" applyAlignment="1">
      <alignment horizontal="center" vertical="center"/>
    </xf>
    <xf numFmtId="0" fontId="15" fillId="0" borderId="0" xfId="0" applyFont="1" applyAlignment="1">
      <alignment horizontal="center"/>
    </xf>
    <xf numFmtId="0" fontId="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5" fillId="2" borderId="1" xfId="0" applyFont="1" applyFill="1" applyBorder="1" applyAlignment="1">
      <alignment vertical="center" wrapText="1"/>
    </xf>
    <xf numFmtId="165" fontId="5" fillId="2" borderId="1" xfId="1" applyNumberFormat="1" applyFont="1" applyFill="1" applyBorder="1" applyAlignment="1">
      <alignment horizontal="right" vertical="center" wrapText="1"/>
    </xf>
    <xf numFmtId="43" fontId="5" fillId="2" borderId="1" xfId="1" applyFont="1" applyFill="1" applyBorder="1" applyAlignment="1">
      <alignment horizontal="right" vertical="center" wrapText="1"/>
    </xf>
    <xf numFmtId="0" fontId="5" fillId="2" borderId="1" xfId="0" quotePrefix="1" applyFont="1" applyFill="1" applyBorder="1" applyAlignment="1">
      <alignment horizontal="center" vertical="center" wrapText="1"/>
    </xf>
    <xf numFmtId="0" fontId="2" fillId="2" borderId="1" xfId="0" applyFont="1" applyFill="1" applyBorder="1" applyAlignment="1">
      <alignment vertical="center" wrapText="1"/>
    </xf>
    <xf numFmtId="165" fontId="2" fillId="2" borderId="1" xfId="1" applyNumberFormat="1" applyFont="1" applyFill="1" applyBorder="1" applyAlignment="1">
      <alignment horizontal="right" vertical="center" wrapText="1"/>
    </xf>
    <xf numFmtId="43" fontId="2" fillId="2" borderId="1" xfId="1" applyFont="1" applyFill="1" applyBorder="1" applyAlignment="1">
      <alignment horizontal="right" vertical="center" wrapText="1"/>
    </xf>
    <xf numFmtId="0" fontId="13" fillId="2" borderId="1" xfId="0" quotePrefix="1" applyFont="1" applyFill="1" applyBorder="1" applyAlignment="1">
      <alignment vertical="center" wrapText="1"/>
    </xf>
    <xf numFmtId="0" fontId="13" fillId="0" borderId="1" xfId="0" applyFont="1" applyBorder="1" applyAlignment="1">
      <alignment vertical="center"/>
    </xf>
    <xf numFmtId="165" fontId="13" fillId="2" borderId="1" xfId="1" applyNumberFormat="1" applyFont="1" applyFill="1" applyBorder="1" applyAlignment="1">
      <alignment horizontal="right" vertical="center" wrapText="1"/>
    </xf>
    <xf numFmtId="0" fontId="2" fillId="2" borderId="1" xfId="0" quotePrefix="1" applyFont="1" applyFill="1" applyBorder="1" applyAlignment="1">
      <alignment vertical="center" wrapText="1"/>
    </xf>
    <xf numFmtId="0" fontId="13" fillId="2" borderId="1" xfId="0" applyFont="1" applyFill="1" applyBorder="1" applyAlignment="1">
      <alignment vertical="center" wrapText="1"/>
    </xf>
    <xf numFmtId="164" fontId="5" fillId="0" borderId="1" xfId="1" applyNumberFormat="1" applyFont="1" applyFill="1" applyBorder="1" applyAlignment="1">
      <alignment horizontal="centerContinuous"/>
    </xf>
    <xf numFmtId="43" fontId="5" fillId="0" borderId="1" xfId="1" applyFont="1" applyBorder="1" applyAlignment="1">
      <alignment horizontal="centerContinuous"/>
    </xf>
    <xf numFmtId="164" fontId="5" fillId="0" borderId="1" xfId="1" applyNumberFormat="1" applyFont="1" applyFill="1" applyBorder="1" applyAlignment="1"/>
    <xf numFmtId="3" fontId="5" fillId="0" borderId="1" xfId="0" applyNumberFormat="1" applyFont="1" applyBorder="1"/>
    <xf numFmtId="43" fontId="2" fillId="0" borderId="1" xfId="1" applyFont="1" applyBorder="1" applyAlignment="1">
      <alignment horizontal="centerContinuous"/>
    </xf>
    <xf numFmtId="164" fontId="2" fillId="0" borderId="1" xfId="1" quotePrefix="1" applyNumberFormat="1" applyFont="1" applyFill="1" applyBorder="1" applyAlignment="1"/>
    <xf numFmtId="164" fontId="5" fillId="0" borderId="1" xfId="1" quotePrefix="1" applyNumberFormat="1" applyFont="1" applyFill="1" applyBorder="1"/>
    <xf numFmtId="164" fontId="2" fillId="0" borderId="1" xfId="1" applyNumberFormat="1" applyFont="1" applyFill="1" applyBorder="1" applyAlignment="1"/>
    <xf numFmtId="0" fontId="10" fillId="0" borderId="1" xfId="0" applyFont="1" applyBorder="1" applyAlignment="1">
      <alignment horizontal="center"/>
    </xf>
    <xf numFmtId="3" fontId="5" fillId="0" borderId="1" xfId="1" applyNumberFormat="1" applyFont="1" applyBorder="1" applyAlignment="1">
      <alignment horizontal="right"/>
    </xf>
    <xf numFmtId="3" fontId="5" fillId="0" borderId="1" xfId="1" applyNumberFormat="1" applyFont="1" applyBorder="1" applyAlignment="1"/>
    <xf numFmtId="3" fontId="2" fillId="0" borderId="1" xfId="1" applyNumberFormat="1" applyFont="1" applyBorder="1" applyAlignment="1"/>
    <xf numFmtId="3" fontId="2" fillId="0" borderId="1" xfId="1" quotePrefix="1" applyNumberFormat="1" applyFont="1" applyBorder="1" applyAlignment="1"/>
    <xf numFmtId="3" fontId="5" fillId="0" borderId="1" xfId="1" quotePrefix="1" applyNumberFormat="1" applyFont="1" applyBorder="1" applyAlignment="1"/>
    <xf numFmtId="0" fontId="5" fillId="0" borderId="1" xfId="0" applyFont="1" applyBorder="1" applyAlignment="1">
      <alignment horizontal="left"/>
    </xf>
    <xf numFmtId="0" fontId="9" fillId="0" borderId="1" xfId="0" applyFont="1" applyBorder="1"/>
    <xf numFmtId="164" fontId="9" fillId="0" borderId="1" xfId="1" applyNumberFormat="1" applyFont="1" applyBorder="1"/>
    <xf numFmtId="164" fontId="9" fillId="0" borderId="1" xfId="1" applyNumberFormat="1" applyFont="1" applyFill="1" applyBorder="1"/>
    <xf numFmtId="0" fontId="8" fillId="0" borderId="1" xfId="0" quotePrefix="1" applyFont="1" applyBorder="1" applyAlignment="1">
      <alignment horizontal="center"/>
    </xf>
    <xf numFmtId="0" fontId="8" fillId="0" borderId="1" xfId="0" applyFont="1" applyBorder="1"/>
    <xf numFmtId="164" fontId="8" fillId="0" borderId="1" xfId="1" applyNumberFormat="1" applyFont="1" applyBorder="1"/>
    <xf numFmtId="164" fontId="8" fillId="0" borderId="1" xfId="1" applyNumberFormat="1" applyFont="1" applyFill="1" applyBorder="1"/>
    <xf numFmtId="164" fontId="8" fillId="0" borderId="1" xfId="1" quotePrefix="1" applyNumberFormat="1" applyFont="1" applyFill="1" applyBorder="1"/>
    <xf numFmtId="164" fontId="2" fillId="0" borderId="0" xfId="0" applyNumberFormat="1" applyFont="1"/>
    <xf numFmtId="0" fontId="13" fillId="2" borderId="1" xfId="0" quotePrefix="1" applyFont="1" applyFill="1" applyBorder="1" applyAlignment="1">
      <alignment horizontal="center" vertical="center" wrapText="1"/>
    </xf>
    <xf numFmtId="0" fontId="2" fillId="0" borderId="1" xfId="0" applyFont="1" applyBorder="1"/>
    <xf numFmtId="3" fontId="15" fillId="0" borderId="0" xfId="0" applyNumberFormat="1" applyFont="1"/>
    <xf numFmtId="0" fontId="2" fillId="0" borderId="0" xfId="0" applyFont="1" applyAlignment="1">
      <alignment horizontal="left"/>
    </xf>
    <xf numFmtId="164" fontId="5" fillId="0" borderId="1" xfId="1" applyNumberFormat="1" applyFont="1" applyBorder="1" applyAlignment="1">
      <alignment horizontal="center" vertical="center" wrapText="1"/>
    </xf>
    <xf numFmtId="0" fontId="13" fillId="0" borderId="0" xfId="0" applyFont="1" applyAlignment="1">
      <alignment horizontal="right"/>
    </xf>
    <xf numFmtId="164" fontId="5" fillId="0" borderId="1" xfId="1" applyNumberFormat="1" applyFont="1" applyBorder="1" applyAlignment="1">
      <alignment horizontal="right"/>
    </xf>
    <xf numFmtId="43" fontId="5" fillId="0" borderId="1" xfId="1" applyFont="1" applyBorder="1" applyAlignment="1">
      <alignment horizontal="left"/>
    </xf>
    <xf numFmtId="43" fontId="5" fillId="0" borderId="1" xfId="1" applyFont="1" applyBorder="1" applyAlignment="1">
      <alignment horizontal="justify"/>
    </xf>
    <xf numFmtId="0" fontId="5" fillId="0" borderId="0" xfId="0" applyFont="1" applyAlignment="1">
      <alignment horizontal="center" vertical="center"/>
    </xf>
    <xf numFmtId="0" fontId="13" fillId="0" borderId="1" xfId="0" quotePrefix="1" applyFont="1" applyBorder="1" applyAlignment="1">
      <alignment horizontal="center" vertical="center"/>
    </xf>
    <xf numFmtId="164" fontId="5" fillId="0" borderId="1" xfId="1" applyNumberFormat="1" applyFont="1" applyFill="1" applyBorder="1" applyAlignment="1">
      <alignment horizontal="right"/>
    </xf>
    <xf numFmtId="43" fontId="5" fillId="0" borderId="1" xfId="1" applyFont="1" applyFill="1" applyBorder="1" applyAlignment="1">
      <alignment horizontal="centerContinuous"/>
    </xf>
    <xf numFmtId="164" fontId="2" fillId="0" borderId="1" xfId="1" applyNumberFormat="1" applyFont="1" applyBorder="1" applyAlignment="1">
      <alignment horizontal="right" wrapText="1"/>
    </xf>
    <xf numFmtId="43" fontId="2" fillId="0" borderId="1" xfId="1" applyFont="1" applyFill="1" applyBorder="1" applyAlignment="1">
      <alignment horizontal="centerContinuous"/>
    </xf>
    <xf numFmtId="3" fontId="2" fillId="0" borderId="1" xfId="1" applyNumberFormat="1" applyFont="1" applyFill="1" applyBorder="1" applyAlignment="1"/>
    <xf numFmtId="3" fontId="5" fillId="0" borderId="1" xfId="1" applyNumberFormat="1" applyFont="1" applyFill="1" applyBorder="1" applyAlignment="1"/>
    <xf numFmtId="43" fontId="5" fillId="0" borderId="0" xfId="1" applyFont="1" applyAlignment="1">
      <alignment horizontal="center"/>
    </xf>
    <xf numFmtId="164" fontId="5" fillId="0" borderId="1" xfId="1" applyNumberFormat="1" applyFont="1" applyBorder="1" applyAlignment="1">
      <alignment horizontal="center" vertical="center"/>
    </xf>
    <xf numFmtId="164" fontId="5" fillId="0" borderId="1" xfId="1" applyNumberFormat="1" applyFont="1" applyBorder="1" applyAlignment="1">
      <alignment horizontal="center" vertical="center"/>
    </xf>
    <xf numFmtId="0" fontId="5" fillId="0" borderId="1" xfId="0" applyFont="1" applyBorder="1" applyAlignment="1">
      <alignment horizontal="center" vertical="center"/>
    </xf>
    <xf numFmtId="164" fontId="5" fillId="0" borderId="1" xfId="1" applyNumberFormat="1" applyFont="1" applyBorder="1" applyAlignment="1">
      <alignment vertical="center"/>
    </xf>
    <xf numFmtId="43" fontId="5" fillId="0" borderId="1" xfId="1" applyFont="1" applyBorder="1" applyAlignment="1">
      <alignment vertical="center"/>
    </xf>
    <xf numFmtId="43" fontId="5" fillId="0" borderId="1" xfId="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justify" vertical="center"/>
    </xf>
    <xf numFmtId="164" fontId="2" fillId="0" borderId="1" xfId="1" applyNumberFormat="1" applyFont="1" applyBorder="1" applyAlignment="1">
      <alignment vertical="center"/>
    </xf>
    <xf numFmtId="43" fontId="2" fillId="0" borderId="1" xfId="1" applyFont="1" applyBorder="1" applyAlignment="1">
      <alignment vertical="center"/>
    </xf>
    <xf numFmtId="164" fontId="2" fillId="0" borderId="1" xfId="0" applyNumberFormat="1" applyFont="1" applyBorder="1" applyAlignment="1">
      <alignment horizontal="center" vertical="center"/>
    </xf>
    <xf numFmtId="43" fontId="2" fillId="0" borderId="1" xfId="1" applyFont="1" applyBorder="1" applyAlignment="1">
      <alignment horizontal="center" vertical="center"/>
    </xf>
    <xf numFmtId="164" fontId="2" fillId="0" borderId="1" xfId="1" applyNumberFormat="1" applyFont="1" applyBorder="1" applyAlignment="1">
      <alignment horizontal="justify" vertical="center"/>
    </xf>
    <xf numFmtId="164" fontId="5" fillId="0" borderId="1" xfId="0" applyNumberFormat="1" applyFont="1" applyBorder="1" applyAlignment="1">
      <alignment horizontal="center" vertical="center"/>
    </xf>
    <xf numFmtId="164" fontId="5" fillId="0" borderId="1" xfId="1" applyNumberFormat="1" applyFont="1" applyBorder="1" applyAlignment="1">
      <alignment horizontal="right" vertical="center"/>
    </xf>
    <xf numFmtId="164" fontId="17" fillId="0" borderId="1" xfId="0" applyNumberFormat="1" applyFont="1" applyBorder="1" applyAlignment="1">
      <alignment horizontal="center" vertical="center"/>
    </xf>
    <xf numFmtId="0" fontId="13" fillId="0" borderId="1" xfId="0" applyFont="1" applyBorder="1" applyAlignment="1">
      <alignment horizontal="justify" vertical="center"/>
    </xf>
    <xf numFmtId="164" fontId="13" fillId="0" borderId="1" xfId="1" applyNumberFormat="1" applyFont="1" applyBorder="1" applyAlignment="1">
      <alignment horizontal="justify" vertical="center"/>
    </xf>
    <xf numFmtId="164" fontId="13" fillId="0" borderId="1" xfId="1" applyNumberFormat="1" applyFont="1" applyBorder="1" applyAlignment="1">
      <alignment vertical="center"/>
    </xf>
    <xf numFmtId="164" fontId="13" fillId="0" borderId="1" xfId="0" applyNumberFormat="1" applyFont="1" applyBorder="1" applyAlignment="1">
      <alignment horizontal="center" vertical="center"/>
    </xf>
    <xf numFmtId="43" fontId="13" fillId="0" borderId="1" xfId="1" applyFont="1" applyBorder="1" applyAlignment="1">
      <alignment horizontal="center" vertical="center"/>
    </xf>
    <xf numFmtId="164" fontId="2" fillId="0" borderId="1" xfId="1" quotePrefix="1" applyNumberFormat="1" applyFont="1" applyBorder="1" applyAlignment="1">
      <alignment vertical="center"/>
    </xf>
    <xf numFmtId="0" fontId="2" fillId="0" borderId="1" xfId="0" quotePrefix="1" applyFont="1" applyBorder="1" applyAlignment="1">
      <alignment horizontal="center" vertical="center"/>
    </xf>
    <xf numFmtId="164" fontId="2" fillId="0" borderId="1" xfId="1" applyNumberFormat="1" applyFont="1" applyFill="1" applyBorder="1" applyAlignment="1">
      <alignment vertical="center"/>
    </xf>
    <xf numFmtId="164" fontId="5" fillId="0" borderId="1" xfId="1" applyNumberFormat="1" applyFont="1" applyFill="1" applyBorder="1" applyAlignment="1">
      <alignment vertical="center"/>
    </xf>
    <xf numFmtId="43" fontId="5" fillId="0" borderId="1" xfId="1" applyFont="1" applyFill="1" applyBorder="1" applyAlignment="1">
      <alignment horizontal="center" vertical="center"/>
    </xf>
    <xf numFmtId="0" fontId="2" fillId="0" borderId="1" xfId="0" applyFont="1" applyBorder="1" applyAlignment="1">
      <alignment horizontal="justify" vertical="center" wrapText="1"/>
    </xf>
    <xf numFmtId="164" fontId="2" fillId="0" borderId="1" xfId="1" applyNumberFormat="1" applyFont="1" applyBorder="1" applyAlignment="1">
      <alignment horizontal="justify" vertical="center" wrapText="1"/>
    </xf>
    <xf numFmtId="164" fontId="2" fillId="0" borderId="1" xfId="1" quotePrefix="1" applyNumberFormat="1" applyFont="1" applyFill="1" applyBorder="1" applyAlignment="1">
      <alignment vertical="center"/>
    </xf>
    <xf numFmtId="3" fontId="2" fillId="0" borderId="1" xfId="1" applyNumberFormat="1" applyFont="1" applyBorder="1" applyAlignment="1">
      <alignment vertical="center"/>
    </xf>
    <xf numFmtId="0" fontId="2" fillId="0" borderId="1" xfId="0" applyFont="1" applyBorder="1" applyAlignment="1">
      <alignment horizontal="left" vertical="center"/>
    </xf>
    <xf numFmtId="164" fontId="2" fillId="0" borderId="1" xfId="1" applyNumberFormat="1" applyFont="1" applyBorder="1" applyAlignment="1">
      <alignment horizontal="left" vertical="center"/>
    </xf>
    <xf numFmtId="0" fontId="9" fillId="0" borderId="1" xfId="0" applyFont="1" applyBorder="1" applyAlignment="1">
      <alignment horizontal="center"/>
    </xf>
    <xf numFmtId="164" fontId="5" fillId="0" borderId="1" xfId="1" applyNumberFormat="1" applyFont="1" applyBorder="1" applyAlignment="1">
      <alignment horizontal="center" vertical="center" wrapText="1"/>
    </xf>
    <xf numFmtId="164" fontId="5" fillId="0" borderId="1" xfId="1" applyNumberFormat="1" applyFont="1" applyBorder="1" applyAlignment="1">
      <alignment horizontal="center" vertical="center"/>
    </xf>
    <xf numFmtId="164" fontId="2" fillId="0" borderId="5" xfId="1" applyNumberFormat="1" applyFont="1" applyBorder="1" applyAlignment="1">
      <alignment horizontal="center"/>
    </xf>
    <xf numFmtId="0" fontId="5" fillId="0" borderId="0" xfId="0" applyFont="1" applyAlignment="1">
      <alignment horizontal="center"/>
    </xf>
    <xf numFmtId="0" fontId="2" fillId="0" borderId="0" xfId="0" applyFont="1" applyAlignment="1">
      <alignment horizontal="left"/>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64" fontId="5" fillId="0" borderId="0" xfId="1" applyNumberFormat="1" applyFont="1" applyAlignment="1">
      <alignment horizontal="center"/>
    </xf>
    <xf numFmtId="0" fontId="13" fillId="0" borderId="0" xfId="0" applyFont="1" applyAlignment="1">
      <alignment horizontal="center"/>
    </xf>
    <xf numFmtId="164" fontId="13" fillId="0" borderId="0" xfId="1" applyNumberFormat="1" applyFont="1" applyBorder="1" applyAlignment="1">
      <alignment horizontal="right"/>
    </xf>
    <xf numFmtId="0" fontId="13" fillId="0" borderId="0" xfId="0" applyFont="1" applyAlignment="1">
      <alignment horizontal="right"/>
    </xf>
    <xf numFmtId="0" fontId="5"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vertical="top" wrapText="1"/>
    </xf>
    <xf numFmtId="0" fontId="5" fillId="2" borderId="1" xfId="0" applyFont="1" applyFill="1" applyBorder="1" applyAlignment="1">
      <alignment horizontal="center" vertical="center" wrapText="1"/>
    </xf>
    <xf numFmtId="0" fontId="5" fillId="0" borderId="1" xfId="0" applyFont="1" applyBorder="1" applyAlignment="1">
      <alignment horizontal="center" wrapText="1"/>
    </xf>
    <xf numFmtId="0" fontId="5" fillId="0" borderId="1" xfId="0" applyFont="1" applyBorder="1" applyAlignment="1">
      <alignment horizontal="center"/>
    </xf>
    <xf numFmtId="164" fontId="5" fillId="0" borderId="1" xfId="1" applyNumberFormat="1" applyFont="1" applyFill="1" applyBorder="1" applyAlignment="1">
      <alignment horizontal="center" vertical="center" wrapText="1"/>
    </xf>
    <xf numFmtId="164" fontId="5" fillId="0" borderId="1" xfId="1" applyNumberFormat="1" applyFont="1" applyFill="1" applyBorder="1" applyAlignment="1">
      <alignment horizontal="center" vertical="center"/>
    </xf>
    <xf numFmtId="0" fontId="5" fillId="0" borderId="6" xfId="0" applyFont="1" applyBorder="1" applyAlignment="1">
      <alignment horizontal="center" wrapText="1"/>
    </xf>
    <xf numFmtId="0" fontId="5" fillId="0" borderId="7" xfId="0" applyFont="1" applyBorder="1" applyAlignment="1">
      <alignment horizontal="center" wrapText="1"/>
    </xf>
    <xf numFmtId="0" fontId="4" fillId="0" borderId="0" xfId="0" applyFont="1" applyAlignment="1">
      <alignment horizont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164" fontId="5" fillId="0" borderId="8" xfId="1" applyNumberFormat="1" applyFont="1" applyFill="1" applyBorder="1" applyAlignment="1">
      <alignment horizontal="center" vertical="center" wrapText="1"/>
    </xf>
    <xf numFmtId="164" fontId="5" fillId="0" borderId="9" xfId="1" applyNumberFormat="1" applyFont="1" applyFill="1" applyBorder="1" applyAlignment="1">
      <alignment horizontal="center" vertical="center" wrapText="1"/>
    </xf>
    <xf numFmtId="164" fontId="5" fillId="0" borderId="0" xfId="1" applyNumberFormat="1" applyFont="1" applyAlignment="1">
      <alignment horizontal="right"/>
    </xf>
    <xf numFmtId="0" fontId="2" fillId="0" borderId="5" xfId="0" applyFont="1" applyBorder="1" applyAlignment="1">
      <alignment horizontal="center"/>
    </xf>
    <xf numFmtId="0" fontId="11" fillId="0" borderId="0" xfId="0" applyFont="1" applyAlignment="1">
      <alignment horizontal="center"/>
    </xf>
    <xf numFmtId="164" fontId="9" fillId="0" borderId="1" xfId="1" applyNumberFormat="1" applyFont="1" applyBorder="1" applyAlignment="1">
      <alignment horizontal="center" vertical="center" wrapText="1"/>
    </xf>
    <xf numFmtId="164" fontId="11" fillId="0" borderId="5" xfId="1" applyNumberFormat="1" applyFont="1" applyBorder="1" applyAlignment="1">
      <alignment horizontal="right"/>
    </xf>
    <xf numFmtId="164" fontId="9" fillId="0" borderId="1" xfId="1" applyNumberFormat="1" applyFont="1" applyFill="1" applyBorder="1" applyAlignment="1">
      <alignment horizontal="center" vertical="center" wrapText="1"/>
    </xf>
    <xf numFmtId="0" fontId="9" fillId="0" borderId="1" xfId="0" applyFont="1" applyBorder="1" applyAlignment="1">
      <alignment horizontal="center" vertical="center"/>
    </xf>
    <xf numFmtId="164" fontId="9" fillId="0" borderId="0" xfId="1" applyNumberFormat="1" applyFont="1" applyAlignment="1">
      <alignment horizontal="right"/>
    </xf>
    <xf numFmtId="0" fontId="9" fillId="0" borderId="0" xfId="0" applyFont="1" applyAlignment="1">
      <alignment horizontal="center"/>
    </xf>
    <xf numFmtId="164" fontId="9" fillId="0" borderId="1" xfId="1" applyNumberFormat="1" applyFont="1" applyBorder="1" applyAlignment="1">
      <alignment horizontal="center" vertical="center"/>
    </xf>
    <xf numFmtId="0" fontId="9" fillId="0" borderId="1" xfId="0" applyFont="1" applyBorder="1" applyAlignment="1">
      <alignment horizontal="center" vertical="center" wrapText="1"/>
    </xf>
    <xf numFmtId="0" fontId="2" fillId="0" borderId="0" xfId="0" applyFont="1" applyAlignment="1">
      <alignment horizontal="center"/>
    </xf>
    <xf numFmtId="164" fontId="5" fillId="0" borderId="1" xfId="1" applyNumberFormat="1" applyFont="1" applyBorder="1" applyAlignment="1">
      <alignment horizontal="justify" vertical="center"/>
    </xf>
    <xf numFmtId="3" fontId="5" fillId="0" borderId="1" xfId="0" applyNumberFormat="1" applyFont="1" applyBorder="1" applyAlignment="1">
      <alignment vertical="center"/>
    </xf>
    <xf numFmtId="3" fontId="5" fillId="0" borderId="1" xfId="1" applyNumberFormat="1" applyFont="1" applyBorder="1" applyAlignment="1">
      <alignment vertical="center"/>
    </xf>
    <xf numFmtId="43" fontId="13" fillId="0" borderId="1" xfId="1" applyFont="1" applyBorder="1" applyAlignment="1">
      <alignment vertical="center"/>
    </xf>
    <xf numFmtId="164" fontId="2" fillId="0" borderId="1" xfId="1" applyNumberFormat="1" applyFont="1" applyBorder="1" applyAlignment="1">
      <alignment horizontal="right" vertical="center"/>
    </xf>
    <xf numFmtId="3" fontId="2" fillId="0" borderId="1" xfId="1" applyNumberFormat="1" applyFont="1" applyBorder="1" applyAlignment="1">
      <alignment horizontal="right" vertical="center"/>
    </xf>
    <xf numFmtId="3" fontId="2" fillId="0" borderId="1" xfId="0" applyNumberFormat="1" applyFont="1" applyBorder="1" applyAlignment="1">
      <alignment vertical="center"/>
    </xf>
    <xf numFmtId="3" fontId="2" fillId="0" borderId="1" xfId="1" quotePrefix="1" applyNumberFormat="1" applyFont="1" applyBorder="1" applyAlignment="1">
      <alignment vertical="center"/>
    </xf>
    <xf numFmtId="164" fontId="2" fillId="0" borderId="1" xfId="1" applyNumberFormat="1" applyFont="1" applyFill="1" applyBorder="1" applyAlignment="1">
      <alignment vertical="center" wrapText="1"/>
    </xf>
    <xf numFmtId="164" fontId="5" fillId="0" borderId="1" xfId="1" applyNumberFormat="1" applyFont="1" applyFill="1" applyBorder="1" applyAlignment="1">
      <alignment horizontal="right" vertical="center"/>
    </xf>
    <xf numFmtId="3" fontId="5" fillId="0" borderId="1" xfId="1" applyNumberFormat="1" applyFont="1" applyFill="1" applyBorder="1" applyAlignment="1">
      <alignment horizontal="right" vertical="center"/>
    </xf>
    <xf numFmtId="43" fontId="5" fillId="0" borderId="1" xfId="1" applyFont="1" applyFill="1" applyBorder="1" applyAlignment="1">
      <alignment horizontal="right" vertical="center"/>
    </xf>
    <xf numFmtId="3" fontId="5" fillId="0" borderId="1" xfId="1" applyNumberFormat="1" applyFont="1" applyBorder="1" applyAlignment="1">
      <alignment horizontal="right" vertical="center"/>
    </xf>
    <xf numFmtId="3" fontId="5" fillId="0" borderId="1" xfId="1" applyNumberFormat="1" applyFont="1" applyFill="1" applyBorder="1" applyAlignment="1">
      <alignment vertical="center"/>
    </xf>
    <xf numFmtId="43" fontId="2" fillId="0" borderId="1" xfId="1" applyFont="1" applyFill="1" applyBorder="1" applyAlignment="1">
      <alignment horizontal="center" vertical="center"/>
    </xf>
    <xf numFmtId="164" fontId="2" fillId="0" borderId="1" xfId="1" applyNumberFormat="1" applyFont="1" applyBorder="1" applyAlignment="1">
      <alignment horizontal="right" vertical="center" wrapText="1"/>
    </xf>
    <xf numFmtId="3" fontId="2" fillId="0" borderId="1" xfId="1" applyNumberFormat="1" applyFont="1" applyFill="1" applyBorder="1" applyAlignment="1">
      <alignment vertical="center"/>
    </xf>
    <xf numFmtId="164" fontId="5" fillId="0" borderId="1" xfId="1" quotePrefix="1" applyNumberFormat="1" applyFont="1" applyBorder="1" applyAlignment="1">
      <alignment vertical="center"/>
    </xf>
    <xf numFmtId="3" fontId="2" fillId="0" borderId="1" xfId="1" quotePrefix="1" applyNumberFormat="1" applyFont="1" applyFill="1" applyBorder="1" applyAlignment="1">
      <alignment vertical="center"/>
    </xf>
    <xf numFmtId="43" fontId="2" fillId="0" borderId="1" xfId="1" applyFont="1" applyFill="1" applyBorder="1" applyAlignment="1">
      <alignment vertical="center"/>
    </xf>
    <xf numFmtId="164" fontId="2" fillId="0" borderId="1" xfId="1" quotePrefix="1" applyNumberFormat="1" applyFont="1" applyBorder="1" applyAlignment="1">
      <alignment horizontal="right" vertical="center"/>
    </xf>
    <xf numFmtId="164" fontId="5" fillId="0" borderId="1" xfId="1" quotePrefix="1" applyNumberFormat="1" applyFont="1" applyBorder="1" applyAlignment="1">
      <alignment horizontal="right" vertical="center"/>
    </xf>
    <xf numFmtId="164" fontId="5" fillId="0" borderId="1" xfId="1" quotePrefix="1" applyNumberFormat="1" applyFont="1" applyFill="1" applyBorder="1" applyAlignment="1">
      <alignment vertic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zoomScale="110" zoomScaleNormal="110" workbookViewId="0">
      <selection activeCell="C10" sqref="C10"/>
    </sheetView>
  </sheetViews>
  <sheetFormatPr defaultRowHeight="18.75" x14ac:dyDescent="0.3"/>
  <cols>
    <col min="1" max="1" width="8.140625" style="14" customWidth="1"/>
    <col min="2" max="2" width="45.5703125" style="14" customWidth="1"/>
    <col min="3" max="3" width="18.5703125" style="14" customWidth="1"/>
    <col min="4" max="5" width="17.85546875" style="22" customWidth="1"/>
    <col min="6" max="6" width="14" style="22" customWidth="1"/>
    <col min="7" max="7" width="15.28515625" style="22" customWidth="1"/>
    <col min="8" max="8" width="14.28515625" style="23" customWidth="1"/>
    <col min="9" max="9" width="14.5703125" style="22" customWidth="1"/>
    <col min="10" max="16384" width="9.140625" style="14"/>
  </cols>
  <sheetData>
    <row r="1" spans="1:9" x14ac:dyDescent="0.3">
      <c r="A1" s="177"/>
      <c r="B1" s="177"/>
      <c r="C1" s="125"/>
      <c r="H1" s="180" t="s">
        <v>271</v>
      </c>
      <c r="I1" s="180"/>
    </row>
    <row r="2" spans="1:9" x14ac:dyDescent="0.3">
      <c r="A2" s="176" t="s">
        <v>266</v>
      </c>
      <c r="B2" s="176"/>
      <c r="C2" s="176"/>
      <c r="D2" s="176"/>
      <c r="E2" s="176"/>
      <c r="F2" s="176"/>
      <c r="G2" s="176"/>
      <c r="H2" s="176"/>
      <c r="I2" s="176"/>
    </row>
    <row r="3" spans="1:9" x14ac:dyDescent="0.3">
      <c r="A3" s="181" t="s">
        <v>296</v>
      </c>
      <c r="B3" s="181"/>
      <c r="C3" s="181"/>
      <c r="D3" s="181"/>
      <c r="E3" s="181"/>
      <c r="F3" s="181"/>
      <c r="G3" s="181"/>
      <c r="H3" s="181"/>
      <c r="I3" s="181"/>
    </row>
    <row r="4" spans="1:9" x14ac:dyDescent="0.3">
      <c r="E4" s="20"/>
      <c r="F4" s="20"/>
      <c r="G4" s="20"/>
      <c r="H4" s="175" t="s">
        <v>12</v>
      </c>
      <c r="I4" s="175"/>
    </row>
    <row r="5" spans="1:9" s="15" customFormat="1" ht="58.5" customHeight="1" x14ac:dyDescent="0.3">
      <c r="A5" s="178" t="s">
        <v>3</v>
      </c>
      <c r="B5" s="178" t="s">
        <v>21</v>
      </c>
      <c r="C5" s="173" t="s">
        <v>274</v>
      </c>
      <c r="D5" s="173" t="s">
        <v>281</v>
      </c>
      <c r="E5" s="173" t="s">
        <v>282</v>
      </c>
      <c r="F5" s="173" t="s">
        <v>283</v>
      </c>
      <c r="G5" s="173"/>
      <c r="H5" s="179" t="s">
        <v>284</v>
      </c>
      <c r="I5" s="178"/>
    </row>
    <row r="6" spans="1:9" s="32" customFormat="1" ht="44.25" customHeight="1" x14ac:dyDescent="0.3">
      <c r="A6" s="178"/>
      <c r="B6" s="178"/>
      <c r="C6" s="174"/>
      <c r="D6" s="174"/>
      <c r="E6" s="174"/>
      <c r="F6" s="1" t="s">
        <v>20</v>
      </c>
      <c r="G6" s="126" t="s">
        <v>24</v>
      </c>
      <c r="H6" s="1" t="s">
        <v>20</v>
      </c>
      <c r="I6" s="126" t="s">
        <v>24</v>
      </c>
    </row>
    <row r="7" spans="1:9" s="80" customFormat="1" x14ac:dyDescent="0.2">
      <c r="A7" s="81" t="s">
        <v>0</v>
      </c>
      <c r="B7" s="81" t="s">
        <v>1</v>
      </c>
      <c r="C7" s="132" t="s">
        <v>22</v>
      </c>
      <c r="D7" s="132" t="s">
        <v>23</v>
      </c>
      <c r="E7" s="132" t="s">
        <v>118</v>
      </c>
      <c r="F7" s="132" t="s">
        <v>277</v>
      </c>
      <c r="G7" s="132" t="s">
        <v>278</v>
      </c>
      <c r="H7" s="82" t="s">
        <v>275</v>
      </c>
      <c r="I7" s="82" t="s">
        <v>276</v>
      </c>
    </row>
    <row r="8" spans="1:9" s="32" customFormat="1" x14ac:dyDescent="0.3">
      <c r="A8" s="1" t="s">
        <v>0</v>
      </c>
      <c r="B8" s="48" t="s">
        <v>186</v>
      </c>
      <c r="C8" s="143">
        <f>C9+C13+C14+C15</f>
        <v>114010</v>
      </c>
      <c r="D8" s="143">
        <f>D9+D13+D14+D15</f>
        <v>183810</v>
      </c>
      <c r="E8" s="143">
        <f>E9+E13+E14+E15</f>
        <v>183810</v>
      </c>
      <c r="F8" s="143">
        <f>F9+F13+F14+F15</f>
        <v>69800</v>
      </c>
      <c r="G8" s="144">
        <f>D8/C8*100</f>
        <v>161.22269976317867</v>
      </c>
      <c r="H8" s="143">
        <f>H9+H13+H14+H15</f>
        <v>0</v>
      </c>
      <c r="I8" s="145">
        <f>E8/D8*100</f>
        <v>100</v>
      </c>
    </row>
    <row r="9" spans="1:9" s="32" customFormat="1" x14ac:dyDescent="0.3">
      <c r="A9" s="146">
        <v>1</v>
      </c>
      <c r="B9" s="147" t="s">
        <v>31</v>
      </c>
      <c r="C9" s="148">
        <f>C10+C11+C12</f>
        <v>114010</v>
      </c>
      <c r="D9" s="148">
        <f>D10+D11+D12</f>
        <v>183810</v>
      </c>
      <c r="E9" s="148">
        <f>E10+E11+E12</f>
        <v>183810</v>
      </c>
      <c r="F9" s="148">
        <f>F10+F11+F12</f>
        <v>69800</v>
      </c>
      <c r="G9" s="149">
        <f>D9/C9*100</f>
        <v>161.22269976317867</v>
      </c>
      <c r="H9" s="150">
        <f>E9-D9</f>
        <v>0</v>
      </c>
      <c r="I9" s="151">
        <f t="shared" ref="I9:I33" si="0">E9/D9*100</f>
        <v>100</v>
      </c>
    </row>
    <row r="10" spans="1:9" s="32" customFormat="1" x14ac:dyDescent="0.3">
      <c r="A10" s="146"/>
      <c r="B10" s="147" t="s">
        <v>4</v>
      </c>
      <c r="C10" s="152">
        <v>108310</v>
      </c>
      <c r="D10" s="148">
        <f>49900+24000+5300+25610+3500+69800</f>
        <v>178110</v>
      </c>
      <c r="E10" s="148">
        <f>D10</f>
        <v>178110</v>
      </c>
      <c r="F10" s="148">
        <f t="shared" ref="F10:F15" si="1">D10-C10</f>
        <v>69800</v>
      </c>
      <c r="G10" s="149">
        <f>D10/C10*100</f>
        <v>164.44464961684056</v>
      </c>
      <c r="H10" s="150">
        <f t="shared" ref="H10:H33" si="2">E10-D10</f>
        <v>0</v>
      </c>
      <c r="I10" s="151">
        <f>E10/D10*100</f>
        <v>100</v>
      </c>
    </row>
    <row r="11" spans="1:9" s="32" customFormat="1" x14ac:dyDescent="0.3">
      <c r="A11" s="146"/>
      <c r="B11" s="147" t="s">
        <v>5</v>
      </c>
      <c r="C11" s="152">
        <v>2700</v>
      </c>
      <c r="D11" s="148">
        <f>2300+400</f>
        <v>2700</v>
      </c>
      <c r="E11" s="148">
        <f>D11</f>
        <v>2700</v>
      </c>
      <c r="F11" s="148">
        <f t="shared" si="1"/>
        <v>0</v>
      </c>
      <c r="G11" s="149">
        <f t="shared" ref="G11:G33" si="3">D11/C11*100</f>
        <v>100</v>
      </c>
      <c r="H11" s="150">
        <f t="shared" si="2"/>
        <v>0</v>
      </c>
      <c r="I11" s="151">
        <f t="shared" si="0"/>
        <v>100</v>
      </c>
    </row>
    <row r="12" spans="1:9" s="32" customFormat="1" x14ac:dyDescent="0.3">
      <c r="A12" s="146"/>
      <c r="B12" s="147" t="s">
        <v>16</v>
      </c>
      <c r="C12" s="152">
        <v>3000</v>
      </c>
      <c r="D12" s="148">
        <v>3000</v>
      </c>
      <c r="E12" s="148">
        <f>D12</f>
        <v>3000</v>
      </c>
      <c r="F12" s="148">
        <f t="shared" si="1"/>
        <v>0</v>
      </c>
      <c r="G12" s="149">
        <f t="shared" si="3"/>
        <v>100</v>
      </c>
      <c r="H12" s="150">
        <f t="shared" si="2"/>
        <v>0</v>
      </c>
      <c r="I12" s="151">
        <f t="shared" si="0"/>
        <v>100</v>
      </c>
    </row>
    <row r="13" spans="1:9" s="32" customFormat="1" x14ac:dyDescent="0.3">
      <c r="A13" s="146">
        <v>2</v>
      </c>
      <c r="B13" s="147" t="s">
        <v>6</v>
      </c>
      <c r="C13" s="147"/>
      <c r="D13" s="148"/>
      <c r="E13" s="148"/>
      <c r="F13" s="148">
        <f t="shared" si="1"/>
        <v>0</v>
      </c>
      <c r="G13" s="149"/>
      <c r="H13" s="153">
        <f t="shared" si="2"/>
        <v>0</v>
      </c>
      <c r="I13" s="145"/>
    </row>
    <row r="14" spans="1:9" s="32" customFormat="1" x14ac:dyDescent="0.3">
      <c r="A14" s="146">
        <v>3</v>
      </c>
      <c r="B14" s="147" t="s">
        <v>7</v>
      </c>
      <c r="C14" s="147"/>
      <c r="D14" s="148"/>
      <c r="E14" s="148"/>
      <c r="F14" s="148">
        <f t="shared" si="1"/>
        <v>0</v>
      </c>
      <c r="G14" s="149"/>
      <c r="H14" s="153">
        <f t="shared" si="2"/>
        <v>0</v>
      </c>
      <c r="I14" s="145"/>
    </row>
    <row r="15" spans="1:9" s="32" customFormat="1" x14ac:dyDescent="0.3">
      <c r="A15" s="146">
        <v>4</v>
      </c>
      <c r="B15" s="147" t="s">
        <v>8</v>
      </c>
      <c r="C15" s="147"/>
      <c r="D15" s="148"/>
      <c r="E15" s="148"/>
      <c r="F15" s="148">
        <f t="shared" si="1"/>
        <v>0</v>
      </c>
      <c r="G15" s="149"/>
      <c r="H15" s="153">
        <f t="shared" si="2"/>
        <v>0</v>
      </c>
      <c r="I15" s="145"/>
    </row>
    <row r="16" spans="1:9" x14ac:dyDescent="0.3">
      <c r="A16" s="1" t="s">
        <v>1</v>
      </c>
      <c r="B16" s="48" t="s">
        <v>14</v>
      </c>
      <c r="C16" s="140">
        <f>C17+C20+C23+C25+C24</f>
        <v>764162</v>
      </c>
      <c r="D16" s="140">
        <f>D17+D20+D23+D25+D24</f>
        <v>952235.68596899998</v>
      </c>
      <c r="E16" s="154">
        <f>E17+E20+E23+E25+E24</f>
        <v>1001698.3369690001</v>
      </c>
      <c r="F16" s="154">
        <f>F17+F20+F23+F25+F24</f>
        <v>188073.68596899998</v>
      </c>
      <c r="G16" s="144">
        <f t="shared" si="3"/>
        <v>124.61175588016677</v>
      </c>
      <c r="H16" s="153">
        <f>E16-D16-1</f>
        <v>49461.651000000071</v>
      </c>
      <c r="I16" s="145">
        <f t="shared" si="0"/>
        <v>105.19437065096618</v>
      </c>
    </row>
    <row r="17" spans="1:9" s="16" customFormat="1" ht="37.5" x14ac:dyDescent="0.3">
      <c r="A17" s="146">
        <v>1</v>
      </c>
      <c r="B17" s="147" t="s">
        <v>205</v>
      </c>
      <c r="C17" s="148">
        <f>C18+C19</f>
        <v>110610</v>
      </c>
      <c r="D17" s="148">
        <f>D18+D19</f>
        <v>110610</v>
      </c>
      <c r="E17" s="148">
        <f>E18+E19</f>
        <v>110610</v>
      </c>
      <c r="F17" s="148">
        <f>F18+F19</f>
        <v>0</v>
      </c>
      <c r="G17" s="149">
        <f t="shared" si="3"/>
        <v>100</v>
      </c>
      <c r="H17" s="155">
        <f t="shared" si="2"/>
        <v>0</v>
      </c>
      <c r="I17" s="151">
        <f t="shared" si="0"/>
        <v>100</v>
      </c>
    </row>
    <row r="18" spans="1:9" s="16" customFormat="1" ht="37.5" x14ac:dyDescent="0.3">
      <c r="A18" s="81"/>
      <c r="B18" s="156" t="s">
        <v>206</v>
      </c>
      <c r="C18" s="157">
        <v>110610</v>
      </c>
      <c r="D18" s="158">
        <f>110610-D19</f>
        <v>110610</v>
      </c>
      <c r="E18" s="158">
        <f>D18</f>
        <v>110610</v>
      </c>
      <c r="F18" s="158"/>
      <c r="G18" s="149">
        <f t="shared" si="3"/>
        <v>100</v>
      </c>
      <c r="H18" s="159">
        <f t="shared" si="2"/>
        <v>0</v>
      </c>
      <c r="I18" s="160">
        <f t="shared" si="0"/>
        <v>100</v>
      </c>
    </row>
    <row r="19" spans="1:9" s="16" customFormat="1" ht="37.5" x14ac:dyDescent="0.3">
      <c r="A19" s="81"/>
      <c r="B19" s="156" t="s">
        <v>207</v>
      </c>
      <c r="C19" s="157"/>
      <c r="D19" s="158"/>
      <c r="E19" s="158">
        <v>0</v>
      </c>
      <c r="F19" s="158"/>
      <c r="G19" s="149"/>
      <c r="H19" s="159">
        <f t="shared" si="2"/>
        <v>0</v>
      </c>
      <c r="I19" s="160"/>
    </row>
    <row r="20" spans="1:9" s="16" customFormat="1" x14ac:dyDescent="0.3">
      <c r="A20" s="146">
        <v>2</v>
      </c>
      <c r="B20" s="147" t="s">
        <v>208</v>
      </c>
      <c r="C20" s="148">
        <f>C21+C22</f>
        <v>653552</v>
      </c>
      <c r="D20" s="148">
        <f>D21+D22</f>
        <v>678684</v>
      </c>
      <c r="E20" s="148">
        <f>E21+E22</f>
        <v>728146.65100000007</v>
      </c>
      <c r="F20" s="148">
        <f>F21+F22</f>
        <v>25132</v>
      </c>
      <c r="G20" s="149">
        <f t="shared" si="3"/>
        <v>103.84544764609396</v>
      </c>
      <c r="H20" s="150">
        <f>E20-D20-1</f>
        <v>49461.651000000071</v>
      </c>
      <c r="I20" s="151">
        <f t="shared" si="0"/>
        <v>107.28802373416791</v>
      </c>
    </row>
    <row r="21" spans="1:9" s="16" customFormat="1" x14ac:dyDescent="0.3">
      <c r="A21" s="81"/>
      <c r="B21" s="147" t="s">
        <v>209</v>
      </c>
      <c r="C21" s="152">
        <v>583539</v>
      </c>
      <c r="D21" s="161">
        <f>515704+67835</f>
        <v>583539</v>
      </c>
      <c r="E21" s="148">
        <f>D21</f>
        <v>583539</v>
      </c>
      <c r="F21" s="148">
        <f>D21-C21</f>
        <v>0</v>
      </c>
      <c r="G21" s="149">
        <f t="shared" si="3"/>
        <v>100</v>
      </c>
      <c r="H21" s="155">
        <f>E21-D21</f>
        <v>0</v>
      </c>
      <c r="I21" s="151">
        <f t="shared" si="0"/>
        <v>100</v>
      </c>
    </row>
    <row r="22" spans="1:9" s="16" customFormat="1" x14ac:dyDescent="0.3">
      <c r="A22" s="81"/>
      <c r="B22" s="147" t="s">
        <v>210</v>
      </c>
      <c r="C22" s="152">
        <v>70013</v>
      </c>
      <c r="D22" s="161">
        <v>95145</v>
      </c>
      <c r="E22" s="148">
        <f>144607.651</f>
        <v>144607.65100000001</v>
      </c>
      <c r="F22" s="148">
        <f>D22-C22</f>
        <v>25132</v>
      </c>
      <c r="G22" s="149">
        <f t="shared" si="3"/>
        <v>135.89619070744007</v>
      </c>
      <c r="H22" s="150">
        <f>E22-D22-1</f>
        <v>49461.651000000013</v>
      </c>
      <c r="I22" s="151">
        <f t="shared" si="0"/>
        <v>151.9866004519418</v>
      </c>
    </row>
    <row r="23" spans="1:9" x14ac:dyDescent="0.3">
      <c r="A23" s="162" t="s">
        <v>118</v>
      </c>
      <c r="B23" s="147" t="s">
        <v>9</v>
      </c>
      <c r="C23" s="152">
        <v>0</v>
      </c>
      <c r="D23" s="163">
        <v>5801.0743940000002</v>
      </c>
      <c r="E23" s="163">
        <v>5801.0743940000002</v>
      </c>
      <c r="F23" s="148">
        <f>D23-C23</f>
        <v>5801.0743940000002</v>
      </c>
      <c r="G23" s="149"/>
      <c r="H23" s="150">
        <f t="shared" si="2"/>
        <v>0</v>
      </c>
      <c r="I23" s="151"/>
    </row>
    <row r="24" spans="1:9" x14ac:dyDescent="0.3">
      <c r="A24" s="162" t="s">
        <v>11</v>
      </c>
      <c r="B24" s="147" t="s">
        <v>226</v>
      </c>
      <c r="C24" s="152">
        <v>0</v>
      </c>
      <c r="D24" s="163">
        <v>157140.61157499999</v>
      </c>
      <c r="E24" s="163">
        <v>157140.61157499999</v>
      </c>
      <c r="F24" s="148">
        <f>D24-C24</f>
        <v>157140.61157499999</v>
      </c>
      <c r="G24" s="149"/>
      <c r="H24" s="150">
        <f t="shared" si="2"/>
        <v>0</v>
      </c>
      <c r="I24" s="151"/>
    </row>
    <row r="25" spans="1:9" x14ac:dyDescent="0.3">
      <c r="A25" s="162" t="s">
        <v>18</v>
      </c>
      <c r="B25" s="147" t="s">
        <v>13</v>
      </c>
      <c r="C25" s="152"/>
      <c r="D25" s="148">
        <v>0</v>
      </c>
      <c r="E25" s="148">
        <v>0</v>
      </c>
      <c r="F25" s="148">
        <f>D25-C25</f>
        <v>0</v>
      </c>
      <c r="G25" s="149"/>
      <c r="H25" s="150">
        <f t="shared" si="2"/>
        <v>0</v>
      </c>
      <c r="I25" s="151"/>
    </row>
    <row r="26" spans="1:9" s="15" customFormat="1" x14ac:dyDescent="0.3">
      <c r="A26" s="1" t="s">
        <v>2</v>
      </c>
      <c r="B26" s="48" t="s">
        <v>211</v>
      </c>
      <c r="C26" s="164">
        <f>C27+C28+C30+C31+C32+C33</f>
        <v>764162</v>
      </c>
      <c r="D26" s="164">
        <f>D27+D28+D30+D31+D32+D33</f>
        <v>952235.62</v>
      </c>
      <c r="E26" s="164">
        <f>SUM(E27:E33)</f>
        <v>1001698.3369690001</v>
      </c>
      <c r="F26" s="164">
        <f>SUM(F27:F33)</f>
        <v>188073.62</v>
      </c>
      <c r="G26" s="144">
        <f t="shared" si="3"/>
        <v>124.61174724731143</v>
      </c>
      <c r="H26" s="153">
        <f>E26-D26-1</f>
        <v>49461.716969000059</v>
      </c>
      <c r="I26" s="165">
        <f t="shared" si="0"/>
        <v>105.19437793862407</v>
      </c>
    </row>
    <row r="27" spans="1:9" x14ac:dyDescent="0.3">
      <c r="A27" s="146">
        <v>1</v>
      </c>
      <c r="B27" s="166" t="s">
        <v>90</v>
      </c>
      <c r="C27" s="167">
        <v>65204</v>
      </c>
      <c r="D27" s="148">
        <v>92454.62</v>
      </c>
      <c r="E27" s="148">
        <v>126020.43799999999</v>
      </c>
      <c r="F27" s="148">
        <f>D27-C27</f>
        <v>27250.619999999995</v>
      </c>
      <c r="G27" s="149">
        <f t="shared" si="3"/>
        <v>141.79286546837616</v>
      </c>
      <c r="H27" s="150">
        <f t="shared" si="2"/>
        <v>33565.817999999999</v>
      </c>
      <c r="I27" s="151">
        <f t="shared" si="0"/>
        <v>136.30518193682479</v>
      </c>
    </row>
    <row r="28" spans="1:9" s="16" customFormat="1" x14ac:dyDescent="0.3">
      <c r="A28" s="146">
        <v>2</v>
      </c>
      <c r="B28" s="147" t="s">
        <v>91</v>
      </c>
      <c r="C28" s="152">
        <v>540695</v>
      </c>
      <c r="D28" s="161">
        <v>843349</v>
      </c>
      <c r="E28" s="163">
        <f>E16-E27-E30-E31-E33-E32</f>
        <v>870628.89396900008</v>
      </c>
      <c r="F28" s="148">
        <f t="shared" ref="F28:F33" si="4">D28-C28</f>
        <v>302654</v>
      </c>
      <c r="G28" s="149">
        <f t="shared" si="3"/>
        <v>155.97499514513729</v>
      </c>
      <c r="H28" s="150">
        <f t="shared" si="2"/>
        <v>27279.893969000084</v>
      </c>
      <c r="I28" s="151">
        <f t="shared" si="0"/>
        <v>103.23470994440025</v>
      </c>
    </row>
    <row r="29" spans="1:9" s="16" customFormat="1" x14ac:dyDescent="0.3">
      <c r="A29" s="146"/>
      <c r="B29" s="156" t="s">
        <v>10</v>
      </c>
      <c r="C29" s="157"/>
      <c r="D29" s="158"/>
      <c r="E29" s="158"/>
      <c r="F29" s="148">
        <f t="shared" si="4"/>
        <v>0</v>
      </c>
      <c r="G29" s="149"/>
      <c r="H29" s="150">
        <f t="shared" si="2"/>
        <v>0</v>
      </c>
      <c r="I29" s="151"/>
    </row>
    <row r="30" spans="1:9" x14ac:dyDescent="0.3">
      <c r="A30" s="146">
        <v>3</v>
      </c>
      <c r="B30" s="147" t="s">
        <v>212</v>
      </c>
      <c r="C30" s="152">
        <v>13883</v>
      </c>
      <c r="D30" s="161">
        <v>6756</v>
      </c>
      <c r="E30" s="168">
        <v>1155.0509999999999</v>
      </c>
      <c r="F30" s="169">
        <f t="shared" si="4"/>
        <v>-7127</v>
      </c>
      <c r="G30" s="149">
        <f t="shared" si="3"/>
        <v>48.663833465389324</v>
      </c>
      <c r="H30" s="150">
        <f>E30-D30</f>
        <v>-5600.9490000000005</v>
      </c>
      <c r="I30" s="151">
        <f t="shared" si="0"/>
        <v>17.096669626998224</v>
      </c>
    </row>
    <row r="31" spans="1:9" x14ac:dyDescent="0.3">
      <c r="A31" s="162" t="s">
        <v>11</v>
      </c>
      <c r="B31" s="170" t="s">
        <v>17</v>
      </c>
      <c r="C31" s="171">
        <v>5876</v>
      </c>
      <c r="D31" s="152">
        <f>3621+2255</f>
        <v>5876</v>
      </c>
      <c r="E31" s="152">
        <v>0</v>
      </c>
      <c r="F31" s="148">
        <f t="shared" si="4"/>
        <v>0</v>
      </c>
      <c r="G31" s="149">
        <f t="shared" si="3"/>
        <v>100</v>
      </c>
      <c r="H31" s="150">
        <f t="shared" si="2"/>
        <v>-5876</v>
      </c>
      <c r="I31" s="151">
        <f t="shared" si="0"/>
        <v>0</v>
      </c>
    </row>
    <row r="32" spans="1:9" x14ac:dyDescent="0.3">
      <c r="A32" s="162" t="s">
        <v>18</v>
      </c>
      <c r="B32" s="170" t="s">
        <v>230</v>
      </c>
      <c r="C32" s="171">
        <v>134704</v>
      </c>
      <c r="D32" s="152">
        <v>0</v>
      </c>
      <c r="E32" s="152"/>
      <c r="F32" s="169">
        <f t="shared" si="4"/>
        <v>-134704</v>
      </c>
      <c r="G32" s="149">
        <f t="shared" si="3"/>
        <v>0</v>
      </c>
      <c r="H32" s="150">
        <f t="shared" si="2"/>
        <v>0</v>
      </c>
      <c r="I32" s="151"/>
    </row>
    <row r="33" spans="1:9" x14ac:dyDescent="0.3">
      <c r="A33" s="162" t="s">
        <v>19</v>
      </c>
      <c r="B33" s="170" t="s">
        <v>15</v>
      </c>
      <c r="C33" s="171">
        <v>3800</v>
      </c>
      <c r="D33" s="152">
        <v>3800</v>
      </c>
      <c r="E33" s="152">
        <f>'bieu 17(09)'!E80</f>
        <v>3893.9540000000002</v>
      </c>
      <c r="F33" s="148">
        <f t="shared" si="4"/>
        <v>0</v>
      </c>
      <c r="G33" s="149">
        <f t="shared" si="3"/>
        <v>100</v>
      </c>
      <c r="H33" s="150">
        <f t="shared" si="2"/>
        <v>93.954000000000178</v>
      </c>
      <c r="I33" s="151">
        <f t="shared" si="0"/>
        <v>102.47247368421053</v>
      </c>
    </row>
    <row r="34" spans="1:9" ht="18" customHeight="1" x14ac:dyDescent="0.3">
      <c r="E34" s="20"/>
      <c r="F34" s="20"/>
      <c r="G34" s="20"/>
      <c r="H34" s="21"/>
    </row>
    <row r="35" spans="1:9" ht="18" customHeight="1" x14ac:dyDescent="0.3">
      <c r="E35" s="37"/>
      <c r="F35" s="37"/>
      <c r="G35" s="37"/>
      <c r="H35" s="21"/>
    </row>
    <row r="36" spans="1:9" ht="18" customHeight="1" x14ac:dyDescent="0.3">
      <c r="E36" s="37"/>
      <c r="F36" s="37"/>
      <c r="G36" s="37"/>
      <c r="H36" s="21"/>
    </row>
    <row r="37" spans="1:9" ht="18" customHeight="1" x14ac:dyDescent="0.3">
      <c r="E37" s="38"/>
      <c r="F37" s="38"/>
      <c r="G37" s="38"/>
      <c r="H37" s="21"/>
    </row>
    <row r="38" spans="1:9" ht="18" customHeight="1" x14ac:dyDescent="0.3">
      <c r="E38" s="38"/>
      <c r="F38" s="38"/>
      <c r="G38" s="38"/>
      <c r="H38" s="21"/>
    </row>
    <row r="39" spans="1:9" ht="18" customHeight="1" x14ac:dyDescent="0.3">
      <c r="H39" s="21"/>
    </row>
    <row r="40" spans="1:9" ht="18" customHeight="1" x14ac:dyDescent="0.3">
      <c r="H40" s="21"/>
    </row>
    <row r="41" spans="1:9" ht="18" customHeight="1" x14ac:dyDescent="0.3">
      <c r="H41" s="21"/>
    </row>
    <row r="42" spans="1:9" ht="18" customHeight="1" x14ac:dyDescent="0.3">
      <c r="H42" s="21"/>
    </row>
    <row r="43" spans="1:9" ht="18" customHeight="1" x14ac:dyDescent="0.3">
      <c r="H43" s="21"/>
    </row>
    <row r="44" spans="1:9" ht="18" customHeight="1" x14ac:dyDescent="0.3">
      <c r="H44" s="21"/>
    </row>
    <row r="45" spans="1:9" ht="18" customHeight="1" x14ac:dyDescent="0.3">
      <c r="H45" s="21"/>
    </row>
    <row r="46" spans="1:9" ht="18" customHeight="1" x14ac:dyDescent="0.3">
      <c r="H46" s="21"/>
    </row>
    <row r="47" spans="1:9" ht="18" customHeight="1" x14ac:dyDescent="0.3">
      <c r="D47" s="14"/>
      <c r="E47" s="14"/>
      <c r="F47" s="14"/>
      <c r="G47" s="14"/>
      <c r="H47" s="21"/>
      <c r="I47" s="14"/>
    </row>
    <row r="48" spans="1:9" ht="18" customHeight="1" x14ac:dyDescent="0.3">
      <c r="D48" s="14"/>
      <c r="E48" s="14"/>
      <c r="F48" s="14"/>
      <c r="G48" s="14"/>
      <c r="H48" s="21"/>
      <c r="I48" s="14"/>
    </row>
    <row r="49" spans="8:8" s="14" customFormat="1" ht="18" customHeight="1" x14ac:dyDescent="0.3">
      <c r="H49" s="21"/>
    </row>
    <row r="50" spans="8:8" s="14" customFormat="1" ht="18" customHeight="1" x14ac:dyDescent="0.3">
      <c r="H50" s="21"/>
    </row>
    <row r="51" spans="8:8" s="14" customFormat="1" ht="18" customHeight="1" x14ac:dyDescent="0.3">
      <c r="H51" s="21"/>
    </row>
    <row r="52" spans="8:8" s="14" customFormat="1" ht="18" customHeight="1" x14ac:dyDescent="0.3">
      <c r="H52" s="21"/>
    </row>
    <row r="53" spans="8:8" s="14" customFormat="1" ht="18" customHeight="1" x14ac:dyDescent="0.3">
      <c r="H53" s="21"/>
    </row>
    <row r="54" spans="8:8" s="14" customFormat="1" ht="18" customHeight="1" x14ac:dyDescent="0.3">
      <c r="H54" s="21"/>
    </row>
    <row r="55" spans="8:8" s="14" customFormat="1" ht="18" customHeight="1" x14ac:dyDescent="0.3">
      <c r="H55" s="21"/>
    </row>
    <row r="56" spans="8:8" s="14" customFormat="1" ht="18" customHeight="1" x14ac:dyDescent="0.3">
      <c r="H56" s="21"/>
    </row>
    <row r="57" spans="8:8" s="14" customFormat="1" ht="18" customHeight="1" x14ac:dyDescent="0.3">
      <c r="H57" s="21"/>
    </row>
    <row r="58" spans="8:8" s="14" customFormat="1" ht="18" customHeight="1" x14ac:dyDescent="0.3">
      <c r="H58" s="21"/>
    </row>
    <row r="59" spans="8:8" s="14" customFormat="1" ht="18" customHeight="1" x14ac:dyDescent="0.3">
      <c r="H59" s="21"/>
    </row>
    <row r="60" spans="8:8" s="14" customFormat="1" ht="18" customHeight="1" x14ac:dyDescent="0.3">
      <c r="H60" s="21"/>
    </row>
    <row r="61" spans="8:8" s="14" customFormat="1" ht="18" customHeight="1" x14ac:dyDescent="0.3">
      <c r="H61" s="21"/>
    </row>
    <row r="62" spans="8:8" s="14" customFormat="1" ht="18" customHeight="1" x14ac:dyDescent="0.3">
      <c r="H62" s="21"/>
    </row>
    <row r="63" spans="8:8" s="14" customFormat="1" ht="18" customHeight="1" x14ac:dyDescent="0.3">
      <c r="H63" s="21"/>
    </row>
    <row r="64" spans="8:8" s="14" customFormat="1" ht="18" customHeight="1" x14ac:dyDescent="0.3">
      <c r="H64" s="21"/>
    </row>
    <row r="65" spans="8:8" s="14" customFormat="1" ht="18" customHeight="1" x14ac:dyDescent="0.3">
      <c r="H65" s="21"/>
    </row>
    <row r="66" spans="8:8" s="14" customFormat="1" ht="18" customHeight="1" x14ac:dyDescent="0.3">
      <c r="H66" s="21"/>
    </row>
    <row r="67" spans="8:8" s="14" customFormat="1" ht="18" customHeight="1" x14ac:dyDescent="0.3">
      <c r="H67" s="21"/>
    </row>
    <row r="68" spans="8:8" s="14" customFormat="1" ht="18" customHeight="1" x14ac:dyDescent="0.3">
      <c r="H68" s="21"/>
    </row>
    <row r="69" spans="8:8" s="14" customFormat="1" ht="18" customHeight="1" x14ac:dyDescent="0.3">
      <c r="H69" s="21"/>
    </row>
    <row r="70" spans="8:8" s="14" customFormat="1" ht="18" customHeight="1" x14ac:dyDescent="0.3">
      <c r="H70" s="21"/>
    </row>
    <row r="71" spans="8:8" s="14" customFormat="1" ht="18" customHeight="1" x14ac:dyDescent="0.3">
      <c r="H71" s="21"/>
    </row>
    <row r="72" spans="8:8" s="14" customFormat="1" ht="18" customHeight="1" x14ac:dyDescent="0.3">
      <c r="H72" s="21"/>
    </row>
    <row r="73" spans="8:8" s="14" customFormat="1" ht="18" customHeight="1" x14ac:dyDescent="0.3">
      <c r="H73" s="21"/>
    </row>
    <row r="74" spans="8:8" s="14" customFormat="1" ht="18" customHeight="1" x14ac:dyDescent="0.3">
      <c r="H74" s="21"/>
    </row>
    <row r="75" spans="8:8" s="14" customFormat="1" ht="18" customHeight="1" x14ac:dyDescent="0.3">
      <c r="H75" s="21"/>
    </row>
    <row r="76" spans="8:8" s="14" customFormat="1" ht="18" customHeight="1" x14ac:dyDescent="0.3">
      <c r="H76" s="21"/>
    </row>
    <row r="77" spans="8:8" s="14" customFormat="1" ht="18" customHeight="1" x14ac:dyDescent="0.3">
      <c r="H77" s="23"/>
    </row>
    <row r="78" spans="8:8" s="14" customFormat="1" ht="18" customHeight="1" x14ac:dyDescent="0.3">
      <c r="H78" s="23"/>
    </row>
    <row r="79" spans="8:8" s="14" customFormat="1" ht="18" customHeight="1" x14ac:dyDescent="0.3"/>
    <row r="80" spans="8:8" s="14" customFormat="1" ht="18" customHeight="1" x14ac:dyDescent="0.3"/>
    <row r="81" spans="4:9" ht="18" customHeight="1" x14ac:dyDescent="0.3">
      <c r="D81" s="14"/>
      <c r="E81" s="14"/>
      <c r="F81" s="14"/>
      <c r="G81" s="14"/>
      <c r="H81" s="14"/>
      <c r="I81" s="14"/>
    </row>
    <row r="82" spans="4:9" ht="18" customHeight="1" x14ac:dyDescent="0.3">
      <c r="D82" s="14"/>
      <c r="E82" s="14"/>
      <c r="F82" s="14"/>
      <c r="G82" s="14"/>
      <c r="H82" s="14"/>
      <c r="I82" s="14"/>
    </row>
    <row r="83" spans="4:9" ht="18" customHeight="1" x14ac:dyDescent="0.3">
      <c r="D83" s="14"/>
      <c r="E83" s="14"/>
      <c r="F83" s="14"/>
      <c r="G83" s="14"/>
      <c r="H83" s="14"/>
      <c r="I83" s="14"/>
    </row>
    <row r="84" spans="4:9" ht="18" customHeight="1" x14ac:dyDescent="0.3">
      <c r="D84" s="14"/>
      <c r="E84" s="14"/>
      <c r="F84" s="14"/>
      <c r="G84" s="14"/>
      <c r="H84" s="14"/>
      <c r="I84" s="14"/>
    </row>
    <row r="85" spans="4:9" ht="18" customHeight="1" x14ac:dyDescent="0.3">
      <c r="D85" s="14"/>
      <c r="E85" s="14"/>
      <c r="F85" s="14"/>
      <c r="G85" s="14"/>
      <c r="H85" s="14"/>
      <c r="I85" s="14"/>
    </row>
    <row r="86" spans="4:9" ht="18" customHeight="1" x14ac:dyDescent="0.3">
      <c r="D86" s="14"/>
      <c r="E86" s="14"/>
      <c r="F86" s="14"/>
      <c r="G86" s="14"/>
      <c r="H86" s="14"/>
      <c r="I86" s="14"/>
    </row>
    <row r="87" spans="4:9" ht="18" customHeight="1" x14ac:dyDescent="0.3">
      <c r="D87" s="14"/>
      <c r="E87" s="14"/>
      <c r="F87" s="14"/>
      <c r="G87" s="14"/>
      <c r="H87" s="14"/>
      <c r="I87" s="14"/>
    </row>
    <row r="88" spans="4:9" ht="18" customHeight="1" x14ac:dyDescent="0.3">
      <c r="D88" s="14"/>
      <c r="E88" s="14"/>
      <c r="F88" s="14"/>
      <c r="G88" s="14"/>
      <c r="H88" s="14"/>
      <c r="I88" s="14"/>
    </row>
    <row r="89" spans="4:9" ht="18" customHeight="1" x14ac:dyDescent="0.3">
      <c r="D89" s="14"/>
      <c r="E89" s="14"/>
      <c r="F89" s="14"/>
      <c r="G89" s="14"/>
      <c r="H89" s="14"/>
      <c r="I89" s="14"/>
    </row>
    <row r="90" spans="4:9" ht="18" customHeight="1" x14ac:dyDescent="0.3">
      <c r="D90" s="14"/>
      <c r="E90" s="14"/>
      <c r="F90" s="14"/>
      <c r="G90" s="14"/>
      <c r="H90" s="14"/>
      <c r="I90" s="14"/>
    </row>
    <row r="91" spans="4:9" ht="18" customHeight="1" x14ac:dyDescent="0.3">
      <c r="D91" s="14"/>
      <c r="E91" s="14"/>
      <c r="F91" s="14"/>
      <c r="G91" s="14"/>
      <c r="H91" s="14"/>
      <c r="I91" s="14"/>
    </row>
    <row r="92" spans="4:9" ht="18" customHeight="1" x14ac:dyDescent="0.3">
      <c r="D92" s="14"/>
      <c r="E92" s="14"/>
      <c r="F92" s="14"/>
      <c r="G92" s="14"/>
      <c r="H92" s="14"/>
      <c r="I92" s="14"/>
    </row>
  </sheetData>
  <mergeCells count="12">
    <mergeCell ref="F5:G5"/>
    <mergeCell ref="C5:C6"/>
    <mergeCell ref="H4:I4"/>
    <mergeCell ref="A2:I2"/>
    <mergeCell ref="A1:B1"/>
    <mergeCell ref="D5:D6"/>
    <mergeCell ref="B5:B6"/>
    <mergeCell ref="A5:A6"/>
    <mergeCell ref="H5:I5"/>
    <mergeCell ref="E5:E6"/>
    <mergeCell ref="H1:I1"/>
    <mergeCell ref="A3:I3"/>
  </mergeCells>
  <phoneticPr fontId="3" type="noConversion"/>
  <printOptions horizontalCentered="1"/>
  <pageMargins left="0.196850393700787" right="0.196850393700787" top="0.25" bottom="0.43307086614173201" header="0.2" footer="0.23622047244094499"/>
  <pageSetup paperSize="9" scale="85" orientation="landscape" horizontalDpi="4294967292" r:id="rId1"/>
  <headerFooter alignWithMargins="0">
    <oddFooter>&amp;F&amp;RPage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
  <sheetViews>
    <sheetView workbookViewId="0">
      <selection activeCell="C9" sqref="C9"/>
    </sheetView>
  </sheetViews>
  <sheetFormatPr defaultRowHeight="18.75" x14ac:dyDescent="0.3"/>
  <cols>
    <col min="1" max="1" width="8.140625" style="14" customWidth="1"/>
    <col min="2" max="2" width="48.140625" style="14" customWidth="1"/>
    <col min="3" max="3" width="15.28515625" style="14" customWidth="1"/>
    <col min="4" max="4" width="15.5703125" style="22" customWidth="1"/>
    <col min="5" max="5" width="14.7109375" style="14" customWidth="1"/>
    <col min="6" max="7" width="14.85546875" style="14" customWidth="1"/>
    <col min="8" max="8" width="14.85546875" style="22" customWidth="1"/>
    <col min="9" max="9" width="14.85546875" style="13" customWidth="1"/>
    <col min="10" max="16384" width="9.140625" style="14"/>
  </cols>
  <sheetData>
    <row r="1" spans="1:9" x14ac:dyDescent="0.3">
      <c r="E1" s="39"/>
      <c r="F1" s="39"/>
      <c r="G1" s="39"/>
      <c r="H1" s="180" t="s">
        <v>272</v>
      </c>
      <c r="I1" s="180"/>
    </row>
    <row r="2" spans="1:9" ht="18.75" customHeight="1" x14ac:dyDescent="0.3">
      <c r="A2" s="176" t="s">
        <v>257</v>
      </c>
      <c r="B2" s="176"/>
      <c r="C2" s="176"/>
      <c r="D2" s="176"/>
      <c r="E2" s="176"/>
      <c r="F2" s="176"/>
      <c r="G2" s="176"/>
      <c r="H2" s="176"/>
      <c r="I2" s="176"/>
    </row>
    <row r="3" spans="1:9" x14ac:dyDescent="0.3">
      <c r="A3" s="181" t="str">
        <f>'bieu 12 (PL05)'!A3:I3</f>
        <v>(Kèm theo Tờ trình số:           /TTr-UBND ngày      /11/2024 của UBND huyện Phụng Hiệp)</v>
      </c>
      <c r="B3" s="181"/>
      <c r="C3" s="181"/>
      <c r="D3" s="181"/>
      <c r="E3" s="181"/>
      <c r="F3" s="181"/>
      <c r="G3" s="181"/>
      <c r="H3" s="181"/>
      <c r="I3" s="181"/>
    </row>
    <row r="4" spans="1:9" ht="18.75" customHeight="1" x14ac:dyDescent="0.3">
      <c r="D4" s="183"/>
      <c r="E4" s="183"/>
      <c r="F4" s="127"/>
      <c r="G4" s="127"/>
      <c r="H4" s="182" t="s">
        <v>25</v>
      </c>
      <c r="I4" s="182"/>
    </row>
    <row r="5" spans="1:9" s="15" customFormat="1" ht="64.900000000000006" customHeight="1" x14ac:dyDescent="0.3">
      <c r="A5" s="178" t="s">
        <v>3</v>
      </c>
      <c r="B5" s="178" t="s">
        <v>21</v>
      </c>
      <c r="C5" s="173" t="s">
        <v>274</v>
      </c>
      <c r="D5" s="173" t="s">
        <v>281</v>
      </c>
      <c r="E5" s="173" t="s">
        <v>282</v>
      </c>
      <c r="F5" s="173" t="s">
        <v>283</v>
      </c>
      <c r="G5" s="173"/>
      <c r="H5" s="179" t="s">
        <v>284</v>
      </c>
      <c r="I5" s="178"/>
    </row>
    <row r="6" spans="1:9" s="32" customFormat="1" ht="42.75" customHeight="1" x14ac:dyDescent="0.3">
      <c r="A6" s="178"/>
      <c r="B6" s="178"/>
      <c r="C6" s="174"/>
      <c r="D6" s="174"/>
      <c r="E6" s="174"/>
      <c r="F6" s="1" t="s">
        <v>20</v>
      </c>
      <c r="G6" s="126" t="s">
        <v>24</v>
      </c>
      <c r="H6" s="1" t="s">
        <v>20</v>
      </c>
      <c r="I6" s="126" t="s">
        <v>24</v>
      </c>
    </row>
    <row r="7" spans="1:9" s="83" customFormat="1" ht="19.5" x14ac:dyDescent="0.35">
      <c r="A7" s="81" t="s">
        <v>0</v>
      </c>
      <c r="B7" s="81" t="s">
        <v>1</v>
      </c>
      <c r="C7" s="132" t="s">
        <v>22</v>
      </c>
      <c r="D7" s="132" t="s">
        <v>23</v>
      </c>
      <c r="E7" s="132" t="s">
        <v>118</v>
      </c>
      <c r="F7" s="132" t="s">
        <v>277</v>
      </c>
      <c r="G7" s="132" t="s">
        <v>278</v>
      </c>
      <c r="H7" s="132" t="s">
        <v>275</v>
      </c>
      <c r="I7" s="132" t="s">
        <v>276</v>
      </c>
    </row>
    <row r="8" spans="1:9" x14ac:dyDescent="0.3">
      <c r="A8" s="142" t="s">
        <v>0</v>
      </c>
      <c r="B8" s="48" t="s">
        <v>198</v>
      </c>
      <c r="C8" s="211"/>
      <c r="D8" s="141"/>
      <c r="E8" s="212"/>
      <c r="F8" s="212"/>
      <c r="G8" s="212"/>
      <c r="H8" s="148"/>
      <c r="I8" s="149"/>
    </row>
    <row r="9" spans="1:9" s="15" customFormat="1" x14ac:dyDescent="0.3">
      <c r="A9" s="142" t="s">
        <v>30</v>
      </c>
      <c r="B9" s="48" t="s">
        <v>199</v>
      </c>
      <c r="C9" s="143">
        <f>C10+C13+C16+C17+C19+C18</f>
        <v>656891</v>
      </c>
      <c r="D9" s="143">
        <f>D10+D13+D16+D17+D19+D18</f>
        <v>800284.83517899993</v>
      </c>
      <c r="E9" s="143">
        <f>E10+E13+E16+E17+E19+E18-1</f>
        <v>837308.31617899996</v>
      </c>
      <c r="F9" s="143">
        <f>F10+F13+F16+F17+F19+F18</f>
        <v>143393.83517900002</v>
      </c>
      <c r="G9" s="144">
        <f>D9/C9*100</f>
        <v>121.8291672711302</v>
      </c>
      <c r="H9" s="213">
        <f>H10+H13+H16+H17+H19+H18</f>
        <v>37024.481</v>
      </c>
      <c r="I9" s="144">
        <f>E9/D9*100</f>
        <v>104.62628796304993</v>
      </c>
    </row>
    <row r="10" spans="1:9" s="16" customFormat="1" ht="37.5" x14ac:dyDescent="0.3">
      <c r="A10" s="146">
        <v>1</v>
      </c>
      <c r="B10" s="147" t="s">
        <v>205</v>
      </c>
      <c r="C10" s="148">
        <f>C11+C12</f>
        <v>90190</v>
      </c>
      <c r="D10" s="148">
        <f>D11+D12</f>
        <v>90190</v>
      </c>
      <c r="E10" s="148">
        <f>E11+E12</f>
        <v>90190</v>
      </c>
      <c r="F10" s="148">
        <f>F11+F12</f>
        <v>0</v>
      </c>
      <c r="G10" s="149">
        <f t="shared" ref="G10:G35" si="0">D10/C10*100</f>
        <v>100</v>
      </c>
      <c r="H10" s="148">
        <f>H11+H12</f>
        <v>0</v>
      </c>
      <c r="I10" s="149">
        <f t="shared" ref="I10:I35" si="1">E10/D10*100</f>
        <v>100</v>
      </c>
    </row>
    <row r="11" spans="1:9" s="16" customFormat="1" x14ac:dyDescent="0.3">
      <c r="A11" s="81"/>
      <c r="B11" s="156" t="s">
        <v>206</v>
      </c>
      <c r="C11" s="157">
        <v>90190</v>
      </c>
      <c r="D11" s="158">
        <v>90190</v>
      </c>
      <c r="E11" s="158">
        <f>D11</f>
        <v>90190</v>
      </c>
      <c r="F11" s="158">
        <f>D11-C11</f>
        <v>0</v>
      </c>
      <c r="G11" s="149">
        <f t="shared" si="0"/>
        <v>100</v>
      </c>
      <c r="H11" s="158">
        <f>E11-D11</f>
        <v>0</v>
      </c>
      <c r="I11" s="214">
        <f t="shared" si="1"/>
        <v>100</v>
      </c>
    </row>
    <row r="12" spans="1:9" s="16" customFormat="1" ht="37.5" x14ac:dyDescent="0.3">
      <c r="A12" s="81"/>
      <c r="B12" s="156" t="s">
        <v>207</v>
      </c>
      <c r="C12" s="157"/>
      <c r="D12" s="158"/>
      <c r="E12" s="158">
        <f>D12</f>
        <v>0</v>
      </c>
      <c r="F12" s="158"/>
      <c r="G12" s="144"/>
      <c r="H12" s="158">
        <f t="shared" ref="H12:H34" si="2">E12-D12</f>
        <v>0</v>
      </c>
      <c r="I12" s="214"/>
    </row>
    <row r="13" spans="1:9" s="16" customFormat="1" x14ac:dyDescent="0.3">
      <c r="A13" s="146">
        <v>2</v>
      </c>
      <c r="B13" s="147" t="s">
        <v>208</v>
      </c>
      <c r="C13" s="215">
        <f>C14+C15</f>
        <v>566701</v>
      </c>
      <c r="D13" s="215">
        <f>D14+D15</f>
        <v>559865</v>
      </c>
      <c r="E13" s="215">
        <f>E14+E15</f>
        <v>596889.48100000003</v>
      </c>
      <c r="F13" s="216">
        <f>F14+F15</f>
        <v>-6836</v>
      </c>
      <c r="G13" s="149">
        <f t="shared" si="0"/>
        <v>98.793720145191202</v>
      </c>
      <c r="H13" s="216">
        <f>H14+H15</f>
        <v>37024.481</v>
      </c>
      <c r="I13" s="149">
        <f>E13/D13*100</f>
        <v>106.61310869584632</v>
      </c>
    </row>
    <row r="14" spans="1:9" s="16" customFormat="1" x14ac:dyDescent="0.3">
      <c r="A14" s="146"/>
      <c r="B14" s="147" t="s">
        <v>209</v>
      </c>
      <c r="C14" s="152">
        <v>501208</v>
      </c>
      <c r="D14" s="161">
        <f>'bieu 12 (PL05)'!D21-D23</f>
        <v>501208</v>
      </c>
      <c r="E14" s="161">
        <f>'bieu 12 (PL05)'!E21-E23</f>
        <v>502001.96899999998</v>
      </c>
      <c r="F14" s="161">
        <f t="shared" ref="F14:F19" si="3">D14-C14</f>
        <v>0</v>
      </c>
      <c r="G14" s="149">
        <f t="shared" si="0"/>
        <v>100</v>
      </c>
      <c r="H14" s="148">
        <f>E14-D14</f>
        <v>793.96899999998277</v>
      </c>
      <c r="I14" s="149">
        <f t="shared" si="1"/>
        <v>100.15841107883354</v>
      </c>
    </row>
    <row r="15" spans="1:9" s="16" customFormat="1" x14ac:dyDescent="0.3">
      <c r="A15" s="146"/>
      <c r="B15" s="147" t="s">
        <v>210</v>
      </c>
      <c r="C15" s="152">
        <v>65493</v>
      </c>
      <c r="D15" s="161">
        <v>58657</v>
      </c>
      <c r="E15" s="217">
        <f>'bieu 12 (PL05)'!E22-E24</f>
        <v>94887.512000000017</v>
      </c>
      <c r="F15" s="218">
        <f t="shared" si="3"/>
        <v>-6836</v>
      </c>
      <c r="G15" s="149">
        <f t="shared" si="0"/>
        <v>89.562243293176365</v>
      </c>
      <c r="H15" s="169">
        <f>E15-D15</f>
        <v>36230.512000000017</v>
      </c>
      <c r="I15" s="149">
        <f t="shared" si="1"/>
        <v>161.76673201834396</v>
      </c>
    </row>
    <row r="16" spans="1:9" s="16" customFormat="1" x14ac:dyDescent="0.3">
      <c r="A16" s="146">
        <v>4</v>
      </c>
      <c r="B16" s="147" t="s">
        <v>116</v>
      </c>
      <c r="C16" s="152"/>
      <c r="D16" s="161"/>
      <c r="E16" s="217"/>
      <c r="F16" s="161">
        <f t="shared" si="3"/>
        <v>0</v>
      </c>
      <c r="G16" s="144" t="e">
        <f t="shared" si="0"/>
        <v>#DIV/0!</v>
      </c>
      <c r="H16" s="148">
        <f t="shared" si="2"/>
        <v>0</v>
      </c>
      <c r="I16" s="144"/>
    </row>
    <row r="17" spans="1:9" s="16" customFormat="1" x14ac:dyDescent="0.3">
      <c r="A17" s="162" t="s">
        <v>118</v>
      </c>
      <c r="B17" s="147" t="s">
        <v>9</v>
      </c>
      <c r="C17" s="152">
        <v>0</v>
      </c>
      <c r="D17" s="217">
        <v>3288.2728350000002</v>
      </c>
      <c r="E17" s="217">
        <v>3288.2728350000002</v>
      </c>
      <c r="F17" s="161">
        <f t="shared" si="3"/>
        <v>3288.2728350000002</v>
      </c>
      <c r="G17" s="144"/>
      <c r="H17" s="148">
        <f t="shared" si="2"/>
        <v>0</v>
      </c>
      <c r="I17" s="144"/>
    </row>
    <row r="18" spans="1:9" s="16" customFormat="1" x14ac:dyDescent="0.3">
      <c r="A18" s="162" t="s">
        <v>11</v>
      </c>
      <c r="B18" s="147" t="s">
        <v>226</v>
      </c>
      <c r="C18" s="152">
        <v>0</v>
      </c>
      <c r="D18" s="217">
        <v>146941.56234400001</v>
      </c>
      <c r="E18" s="217">
        <v>146941.56234400001</v>
      </c>
      <c r="F18" s="161">
        <f t="shared" si="3"/>
        <v>146941.56234400001</v>
      </c>
      <c r="G18" s="144"/>
      <c r="H18" s="148">
        <f t="shared" si="2"/>
        <v>0</v>
      </c>
      <c r="I18" s="144"/>
    </row>
    <row r="19" spans="1:9" s="16" customFormat="1" x14ac:dyDescent="0.3">
      <c r="A19" s="162" t="s">
        <v>18</v>
      </c>
      <c r="B19" s="147" t="s">
        <v>13</v>
      </c>
      <c r="C19" s="152"/>
      <c r="D19" s="161">
        <v>0</v>
      </c>
      <c r="E19" s="161"/>
      <c r="F19" s="161">
        <f t="shared" si="3"/>
        <v>0</v>
      </c>
      <c r="G19" s="144"/>
      <c r="H19" s="148">
        <f t="shared" si="2"/>
        <v>0</v>
      </c>
      <c r="I19" s="144"/>
    </row>
    <row r="20" spans="1:9" s="15" customFormat="1" x14ac:dyDescent="0.3">
      <c r="A20" s="142" t="s">
        <v>75</v>
      </c>
      <c r="B20" s="48" t="s">
        <v>213</v>
      </c>
      <c r="C20" s="143">
        <f>C21+C22</f>
        <v>656891</v>
      </c>
      <c r="D20" s="143">
        <f>D21+D22</f>
        <v>800284.83517899993</v>
      </c>
      <c r="E20" s="143">
        <f>E21+E22</f>
        <v>837308.31617899996</v>
      </c>
      <c r="F20" s="143">
        <f>F21+F22</f>
        <v>143393.83517899993</v>
      </c>
      <c r="G20" s="144">
        <f t="shared" si="0"/>
        <v>121.8291672711302</v>
      </c>
      <c r="H20" s="213">
        <f>H21+H22+1</f>
        <v>37024.481</v>
      </c>
      <c r="I20" s="144">
        <f t="shared" si="1"/>
        <v>104.62628796304993</v>
      </c>
    </row>
    <row r="21" spans="1:9" x14ac:dyDescent="0.3">
      <c r="A21" s="146">
        <v>1</v>
      </c>
      <c r="B21" s="166" t="s">
        <v>214</v>
      </c>
      <c r="C21" s="167">
        <v>570040</v>
      </c>
      <c r="D21" s="219">
        <f>D9-D22</f>
        <v>681465.83517899993</v>
      </c>
      <c r="E21" s="217">
        <f>E9-E22</f>
        <v>706051.14617899992</v>
      </c>
      <c r="F21" s="217">
        <f>D21-C21</f>
        <v>111425.83517899993</v>
      </c>
      <c r="G21" s="149">
        <f t="shared" si="0"/>
        <v>119.54702041593571</v>
      </c>
      <c r="H21" s="169">
        <f>E21-D21</f>
        <v>24585.310999999987</v>
      </c>
      <c r="I21" s="149">
        <f t="shared" si="1"/>
        <v>103.60770998791777</v>
      </c>
    </row>
    <row r="22" spans="1:9" ht="37.5" x14ac:dyDescent="0.3">
      <c r="A22" s="146">
        <v>2</v>
      </c>
      <c r="B22" s="166" t="s">
        <v>215</v>
      </c>
      <c r="C22" s="152">
        <f>C23+C24</f>
        <v>86851</v>
      </c>
      <c r="D22" s="152">
        <f>D23+D24</f>
        <v>118819</v>
      </c>
      <c r="E22" s="152">
        <f>E23+E24</f>
        <v>131257.17000000001</v>
      </c>
      <c r="F22" s="152">
        <f>F23+F24</f>
        <v>31968</v>
      </c>
      <c r="G22" s="149">
        <f t="shared" si="0"/>
        <v>136.80786634581062</v>
      </c>
      <c r="H22" s="148">
        <f t="shared" si="2"/>
        <v>12438.170000000013</v>
      </c>
      <c r="I22" s="149">
        <f t="shared" si="1"/>
        <v>110.46816586572857</v>
      </c>
    </row>
    <row r="23" spans="1:9" s="16" customFormat="1" x14ac:dyDescent="0.3">
      <c r="A23" s="81"/>
      <c r="B23" s="147" t="s">
        <v>209</v>
      </c>
      <c r="C23" s="152">
        <v>82331</v>
      </c>
      <c r="D23" s="161">
        <f>'bieu xa (PL11)'!G8</f>
        <v>82331</v>
      </c>
      <c r="E23" s="161">
        <f>'bieu xa (PL11)'!W8</f>
        <v>81537.031000000003</v>
      </c>
      <c r="F23" s="161">
        <f>D23-C23</f>
        <v>0</v>
      </c>
      <c r="G23" s="149">
        <f t="shared" si="0"/>
        <v>100</v>
      </c>
      <c r="H23" s="148">
        <f t="shared" si="2"/>
        <v>-793.96899999999732</v>
      </c>
      <c r="I23" s="149">
        <f t="shared" si="1"/>
        <v>99.035637852084875</v>
      </c>
    </row>
    <row r="24" spans="1:9" s="16" customFormat="1" x14ac:dyDescent="0.3">
      <c r="A24" s="81"/>
      <c r="B24" s="147" t="s">
        <v>210</v>
      </c>
      <c r="C24" s="152">
        <v>4520</v>
      </c>
      <c r="D24" s="161">
        <v>36488</v>
      </c>
      <c r="E24" s="217">
        <f>'bieu xa (PL11)'!X8</f>
        <v>49720.139000000003</v>
      </c>
      <c r="F24" s="161">
        <f>D24-C24</f>
        <v>31968</v>
      </c>
      <c r="G24" s="149">
        <f t="shared" si="0"/>
        <v>807.25663716814165</v>
      </c>
      <c r="H24" s="148">
        <f>E24-D24</f>
        <v>13232.139000000003</v>
      </c>
      <c r="I24" s="144"/>
    </row>
    <row r="25" spans="1:9" x14ac:dyDescent="0.3">
      <c r="A25" s="142" t="s">
        <v>1</v>
      </c>
      <c r="B25" s="48" t="s">
        <v>216</v>
      </c>
      <c r="C25" s="211"/>
      <c r="D25" s="211"/>
      <c r="E25" s="217"/>
      <c r="F25" s="161"/>
      <c r="G25" s="144"/>
      <c r="H25" s="148">
        <f t="shared" si="2"/>
        <v>0</v>
      </c>
      <c r="I25" s="144"/>
    </row>
    <row r="26" spans="1:9" s="15" customFormat="1" x14ac:dyDescent="0.3">
      <c r="A26" s="142" t="s">
        <v>30</v>
      </c>
      <c r="B26" s="48" t="s">
        <v>217</v>
      </c>
      <c r="C26" s="211">
        <f>C27+C30+C33+C34</f>
        <v>107271</v>
      </c>
      <c r="D26" s="211">
        <f>D27+D30+D33+D34</f>
        <v>151950.85079000003</v>
      </c>
      <c r="E26" s="211">
        <f>E27+E30+E33+E34</f>
        <v>164389.35849500002</v>
      </c>
      <c r="F26" s="211">
        <f>F27+F30+F33+F34</f>
        <v>44679.850789999997</v>
      </c>
      <c r="G26" s="144">
        <f t="shared" si="0"/>
        <v>141.65137902135714</v>
      </c>
      <c r="H26" s="143">
        <f>E26-D26</f>
        <v>12438.507704999996</v>
      </c>
      <c r="I26" s="144">
        <f t="shared" si="1"/>
        <v>108.18587565672162</v>
      </c>
    </row>
    <row r="27" spans="1:9" s="41" customFormat="1" ht="19.5" x14ac:dyDescent="0.35">
      <c r="A27" s="146">
        <v>1</v>
      </c>
      <c r="B27" s="147" t="s">
        <v>218</v>
      </c>
      <c r="C27" s="148">
        <f>C28+C29</f>
        <v>20420</v>
      </c>
      <c r="D27" s="148">
        <f>D28+D29</f>
        <v>20420</v>
      </c>
      <c r="E27" s="148">
        <f>E28+E29</f>
        <v>20420</v>
      </c>
      <c r="F27" s="148">
        <f>F28+F29</f>
        <v>0</v>
      </c>
      <c r="G27" s="149">
        <f t="shared" si="0"/>
        <v>100</v>
      </c>
      <c r="H27" s="148">
        <f t="shared" si="2"/>
        <v>0</v>
      </c>
      <c r="I27" s="149">
        <f t="shared" si="1"/>
        <v>100</v>
      </c>
    </row>
    <row r="28" spans="1:9" s="41" customFormat="1" ht="19.5" x14ac:dyDescent="0.35">
      <c r="A28" s="146"/>
      <c r="B28" s="156" t="s">
        <v>219</v>
      </c>
      <c r="C28" s="157">
        <v>20420</v>
      </c>
      <c r="D28" s="158">
        <f>'bieu 12 (PL05)'!D18-D11</f>
        <v>20420</v>
      </c>
      <c r="E28" s="158">
        <f>D28</f>
        <v>20420</v>
      </c>
      <c r="F28" s="158">
        <f>D28-C28</f>
        <v>0</v>
      </c>
      <c r="G28" s="149">
        <f t="shared" si="0"/>
        <v>100</v>
      </c>
      <c r="H28" s="148">
        <f t="shared" si="2"/>
        <v>0</v>
      </c>
      <c r="I28" s="149">
        <f t="shared" si="1"/>
        <v>100</v>
      </c>
    </row>
    <row r="29" spans="1:9" s="41" customFormat="1" ht="37.5" x14ac:dyDescent="0.35">
      <c r="A29" s="146"/>
      <c r="B29" s="156" t="s">
        <v>220</v>
      </c>
      <c r="C29" s="157"/>
      <c r="D29" s="158"/>
      <c r="E29" s="158"/>
      <c r="F29" s="158"/>
      <c r="G29" s="144"/>
      <c r="H29" s="148">
        <f t="shared" si="2"/>
        <v>0</v>
      </c>
      <c r="I29" s="149"/>
    </row>
    <row r="30" spans="1:9" s="41" customFormat="1" ht="19.5" x14ac:dyDescent="0.35">
      <c r="A30" s="146">
        <v>2</v>
      </c>
      <c r="B30" s="147" t="s">
        <v>221</v>
      </c>
      <c r="C30" s="148">
        <f>C31+C32</f>
        <v>86851</v>
      </c>
      <c r="D30" s="148">
        <f>D31+D32</f>
        <v>118819</v>
      </c>
      <c r="E30" s="148">
        <f>E31+E32</f>
        <v>131257.17000000001</v>
      </c>
      <c r="F30" s="148">
        <f>F31+F32</f>
        <v>31968</v>
      </c>
      <c r="G30" s="149">
        <f t="shared" si="0"/>
        <v>136.80786634581062</v>
      </c>
      <c r="H30" s="148">
        <f t="shared" si="2"/>
        <v>12438.170000000013</v>
      </c>
      <c r="I30" s="149">
        <f t="shared" si="1"/>
        <v>110.46816586572857</v>
      </c>
    </row>
    <row r="31" spans="1:9" s="41" customFormat="1" ht="19.5" x14ac:dyDescent="0.35">
      <c r="A31" s="146"/>
      <c r="B31" s="147" t="s">
        <v>209</v>
      </c>
      <c r="C31" s="152">
        <v>82331</v>
      </c>
      <c r="D31" s="161">
        <f>D23</f>
        <v>82331</v>
      </c>
      <c r="E31" s="161">
        <f>E23</f>
        <v>81537.031000000003</v>
      </c>
      <c r="F31" s="161">
        <f>D31-C31</f>
        <v>0</v>
      </c>
      <c r="G31" s="149">
        <f t="shared" si="0"/>
        <v>100</v>
      </c>
      <c r="H31" s="148">
        <f t="shared" si="2"/>
        <v>-793.96899999999732</v>
      </c>
      <c r="I31" s="149">
        <f t="shared" si="1"/>
        <v>99.035637852084875</v>
      </c>
    </row>
    <row r="32" spans="1:9" s="41" customFormat="1" ht="19.5" x14ac:dyDescent="0.35">
      <c r="A32" s="146"/>
      <c r="B32" s="147" t="s">
        <v>210</v>
      </c>
      <c r="C32" s="152">
        <v>4520</v>
      </c>
      <c r="D32" s="161">
        <f>D24</f>
        <v>36488</v>
      </c>
      <c r="E32" s="217">
        <f>E24</f>
        <v>49720.139000000003</v>
      </c>
      <c r="F32" s="161">
        <f>D32-C32</f>
        <v>31968</v>
      </c>
      <c r="G32" s="149">
        <f t="shared" si="0"/>
        <v>807.25663716814165</v>
      </c>
      <c r="H32" s="148">
        <f t="shared" si="2"/>
        <v>13232.139000000003</v>
      </c>
      <c r="I32" s="144"/>
    </row>
    <row r="33" spans="1:9" s="17" customFormat="1" x14ac:dyDescent="0.3">
      <c r="A33" s="146">
        <v>3</v>
      </c>
      <c r="B33" s="147" t="s">
        <v>117</v>
      </c>
      <c r="C33" s="152"/>
      <c r="D33" s="217">
        <v>2512.801559</v>
      </c>
      <c r="E33" s="217">
        <f>'bieu xa (PL11)'!T8</f>
        <v>2513.1392639999999</v>
      </c>
      <c r="F33" s="161">
        <f>D33-C33</f>
        <v>2512.801559</v>
      </c>
      <c r="G33" s="144"/>
      <c r="H33" s="148">
        <f t="shared" si="2"/>
        <v>0.33770499999991443</v>
      </c>
      <c r="I33" s="144"/>
    </row>
    <row r="34" spans="1:9" s="17" customFormat="1" x14ac:dyDescent="0.3">
      <c r="A34" s="146">
        <v>4</v>
      </c>
      <c r="B34" s="147" t="s">
        <v>226</v>
      </c>
      <c r="C34" s="152"/>
      <c r="D34" s="218">
        <v>10199.049231000001</v>
      </c>
      <c r="E34" s="218">
        <f>'bieu xa (PL11)'!U8</f>
        <v>10199.049230999999</v>
      </c>
      <c r="F34" s="161">
        <f>D34-C34</f>
        <v>10199.049231000001</v>
      </c>
      <c r="G34" s="144"/>
      <c r="H34" s="148">
        <f t="shared" si="2"/>
        <v>0</v>
      </c>
      <c r="I34" s="144"/>
    </row>
    <row r="35" spans="1:9" s="15" customFormat="1" x14ac:dyDescent="0.3">
      <c r="A35" s="142" t="s">
        <v>75</v>
      </c>
      <c r="B35" s="48" t="s">
        <v>222</v>
      </c>
      <c r="C35" s="211">
        <v>107271</v>
      </c>
      <c r="D35" s="211">
        <f>D26</f>
        <v>151950.85079000003</v>
      </c>
      <c r="E35" s="211">
        <f>E26</f>
        <v>164389.35849500002</v>
      </c>
      <c r="F35" s="211">
        <f>D35-C35</f>
        <v>44679.850790000026</v>
      </c>
      <c r="G35" s="144">
        <f t="shared" si="0"/>
        <v>141.65137902135714</v>
      </c>
      <c r="H35" s="143">
        <f>E35-D35</f>
        <v>12438.507704999996</v>
      </c>
      <c r="I35" s="144">
        <f t="shared" si="1"/>
        <v>108.18587565672162</v>
      </c>
    </row>
    <row r="36" spans="1:9" ht="18" customHeight="1" x14ac:dyDescent="0.3">
      <c r="E36" s="42"/>
      <c r="F36" s="42"/>
      <c r="G36" s="42"/>
    </row>
    <row r="37" spans="1:9" ht="18" customHeight="1" x14ac:dyDescent="0.3">
      <c r="E37" s="43"/>
      <c r="F37" s="43"/>
      <c r="G37" s="43"/>
    </row>
    <row r="38" spans="1:9" ht="18" customHeight="1" x14ac:dyDescent="0.3">
      <c r="E38" s="44"/>
      <c r="F38" s="44"/>
      <c r="G38" s="44"/>
    </row>
    <row r="39" spans="1:9" ht="18" customHeight="1" x14ac:dyDescent="0.3">
      <c r="E39" s="44"/>
      <c r="F39" s="44"/>
      <c r="G39" s="44"/>
    </row>
    <row r="40" spans="1:9" ht="18" customHeight="1" x14ac:dyDescent="0.3">
      <c r="E40" s="45"/>
      <c r="F40" s="45"/>
      <c r="G40" s="45"/>
    </row>
    <row r="41" spans="1:9" ht="18" customHeight="1" x14ac:dyDescent="0.3">
      <c r="E41" s="45"/>
      <c r="F41" s="45"/>
      <c r="G41" s="45"/>
    </row>
    <row r="42" spans="1:9" ht="18" customHeight="1" x14ac:dyDescent="0.3">
      <c r="E42" s="42"/>
      <c r="F42" s="42"/>
      <c r="G42" s="42"/>
    </row>
    <row r="43" spans="1:9" ht="18" customHeight="1" x14ac:dyDescent="0.3">
      <c r="E43" s="42"/>
      <c r="F43" s="42"/>
      <c r="G43" s="42"/>
    </row>
    <row r="44" spans="1:9" ht="18" customHeight="1" x14ac:dyDescent="0.3">
      <c r="E44" s="42"/>
      <c r="F44" s="42"/>
      <c r="G44" s="42"/>
    </row>
    <row r="45" spans="1:9" ht="18" customHeight="1" x14ac:dyDescent="0.3">
      <c r="E45" s="42"/>
      <c r="F45" s="42"/>
      <c r="G45" s="42"/>
    </row>
    <row r="46" spans="1:9" ht="18" customHeight="1" x14ac:dyDescent="0.3">
      <c r="E46" s="42"/>
      <c r="F46" s="42"/>
      <c r="G46" s="42"/>
    </row>
    <row r="47" spans="1:9" ht="18" customHeight="1" x14ac:dyDescent="0.3">
      <c r="E47" s="42"/>
      <c r="F47" s="42"/>
      <c r="G47" s="42"/>
    </row>
    <row r="48" spans="1:9" ht="18" customHeight="1" x14ac:dyDescent="0.3">
      <c r="E48" s="42"/>
      <c r="F48" s="42"/>
      <c r="G48" s="42"/>
    </row>
    <row r="49" spans="5:7" ht="18" customHeight="1" x14ac:dyDescent="0.3">
      <c r="E49" s="42"/>
      <c r="F49" s="42"/>
      <c r="G49" s="42"/>
    </row>
    <row r="50" spans="5:7" ht="18" customHeight="1" x14ac:dyDescent="0.3">
      <c r="E50" s="42"/>
      <c r="F50" s="42"/>
      <c r="G50" s="42"/>
    </row>
    <row r="51" spans="5:7" ht="18" customHeight="1" x14ac:dyDescent="0.3">
      <c r="E51" s="42"/>
      <c r="F51" s="42"/>
      <c r="G51" s="42"/>
    </row>
    <row r="52" spans="5:7" ht="18" customHeight="1" x14ac:dyDescent="0.3">
      <c r="E52" s="42"/>
      <c r="F52" s="42"/>
      <c r="G52" s="42"/>
    </row>
    <row r="53" spans="5:7" ht="18" customHeight="1" x14ac:dyDescent="0.3">
      <c r="E53" s="42"/>
      <c r="F53" s="42"/>
      <c r="G53" s="42"/>
    </row>
    <row r="54" spans="5:7" ht="18" customHeight="1" x14ac:dyDescent="0.3">
      <c r="E54" s="42"/>
      <c r="F54" s="42"/>
      <c r="G54" s="42"/>
    </row>
    <row r="55" spans="5:7" ht="18" customHeight="1" x14ac:dyDescent="0.3">
      <c r="E55" s="42"/>
      <c r="F55" s="42"/>
      <c r="G55" s="42"/>
    </row>
    <row r="56" spans="5:7" ht="18" customHeight="1" x14ac:dyDescent="0.3">
      <c r="E56" s="42"/>
      <c r="F56" s="42"/>
      <c r="G56" s="42"/>
    </row>
    <row r="57" spans="5:7" ht="18" customHeight="1" x14ac:dyDescent="0.3">
      <c r="E57" s="42"/>
      <c r="F57" s="42"/>
      <c r="G57" s="42"/>
    </row>
    <row r="58" spans="5:7" ht="18" customHeight="1" x14ac:dyDescent="0.3">
      <c r="E58" s="42"/>
      <c r="F58" s="42"/>
      <c r="G58" s="42"/>
    </row>
    <row r="59" spans="5:7" ht="18" customHeight="1" x14ac:dyDescent="0.3">
      <c r="E59" s="42"/>
      <c r="F59" s="42"/>
      <c r="G59" s="42"/>
    </row>
    <row r="60" spans="5:7" ht="18" customHeight="1" x14ac:dyDescent="0.3">
      <c r="E60" s="42"/>
      <c r="F60" s="42"/>
      <c r="G60" s="42"/>
    </row>
    <row r="61" spans="5:7" ht="18" customHeight="1" x14ac:dyDescent="0.3">
      <c r="E61" s="42"/>
      <c r="F61" s="42"/>
      <c r="G61" s="42"/>
    </row>
    <row r="62" spans="5:7" ht="18" customHeight="1" x14ac:dyDescent="0.3">
      <c r="E62" s="42"/>
      <c r="F62" s="42"/>
      <c r="G62" s="42"/>
    </row>
    <row r="63" spans="5:7" ht="18" customHeight="1" x14ac:dyDescent="0.3">
      <c r="E63" s="42"/>
      <c r="F63" s="42"/>
      <c r="G63" s="42"/>
    </row>
    <row r="64" spans="5:7" ht="18" customHeight="1" x14ac:dyDescent="0.3">
      <c r="E64" s="42"/>
      <c r="F64" s="42"/>
      <c r="G64" s="42"/>
    </row>
    <row r="65" spans="5:7" ht="18" customHeight="1" x14ac:dyDescent="0.3">
      <c r="E65" s="42"/>
      <c r="F65" s="42"/>
      <c r="G65" s="42"/>
    </row>
    <row r="66" spans="5:7" ht="18" customHeight="1" x14ac:dyDescent="0.3">
      <c r="E66" s="42"/>
      <c r="F66" s="42"/>
      <c r="G66" s="42"/>
    </row>
    <row r="67" spans="5:7" ht="18" customHeight="1" x14ac:dyDescent="0.3">
      <c r="E67" s="42"/>
      <c r="F67" s="42"/>
      <c r="G67" s="42"/>
    </row>
    <row r="68" spans="5:7" ht="18" customHeight="1" x14ac:dyDescent="0.3">
      <c r="E68" s="42"/>
      <c r="F68" s="42"/>
      <c r="G68" s="42"/>
    </row>
    <row r="69" spans="5:7" ht="18" customHeight="1" x14ac:dyDescent="0.3">
      <c r="E69" s="42"/>
      <c r="F69" s="42"/>
      <c r="G69" s="42"/>
    </row>
    <row r="70" spans="5:7" ht="18" customHeight="1" x14ac:dyDescent="0.3">
      <c r="E70" s="42"/>
      <c r="F70" s="42"/>
      <c r="G70" s="42"/>
    </row>
    <row r="71" spans="5:7" ht="18" customHeight="1" x14ac:dyDescent="0.3">
      <c r="E71" s="42"/>
      <c r="F71" s="42"/>
      <c r="G71" s="42"/>
    </row>
    <row r="72" spans="5:7" ht="18" customHeight="1" x14ac:dyDescent="0.3">
      <c r="E72" s="42"/>
      <c r="F72" s="42"/>
      <c r="G72" s="42"/>
    </row>
    <row r="73" spans="5:7" ht="18" customHeight="1" x14ac:dyDescent="0.3">
      <c r="E73" s="42"/>
      <c r="F73" s="42"/>
      <c r="G73" s="42"/>
    </row>
    <row r="74" spans="5:7" ht="18" customHeight="1" x14ac:dyDescent="0.3">
      <c r="E74" s="42"/>
      <c r="F74" s="42"/>
      <c r="G74" s="42"/>
    </row>
    <row r="75" spans="5:7" ht="18" customHeight="1" x14ac:dyDescent="0.3">
      <c r="E75" s="42"/>
      <c r="F75" s="42"/>
      <c r="G75" s="42"/>
    </row>
    <row r="76" spans="5:7" ht="18" customHeight="1" x14ac:dyDescent="0.3">
      <c r="E76" s="42"/>
      <c r="F76" s="42"/>
      <c r="G76" s="42"/>
    </row>
    <row r="77" spans="5:7" ht="18" customHeight="1" x14ac:dyDescent="0.3">
      <c r="E77" s="42"/>
      <c r="F77" s="42"/>
      <c r="G77" s="42"/>
    </row>
    <row r="78" spans="5:7" ht="18" customHeight="1" x14ac:dyDescent="0.3">
      <c r="E78" s="42"/>
      <c r="F78" s="42"/>
      <c r="G78" s="42"/>
    </row>
    <row r="79" spans="5:7" ht="18" customHeight="1" x14ac:dyDescent="0.3">
      <c r="E79" s="42"/>
      <c r="F79" s="42"/>
      <c r="G79" s="42"/>
    </row>
    <row r="80" spans="5:7" ht="18" customHeight="1" x14ac:dyDescent="0.3">
      <c r="E80" s="42"/>
      <c r="F80" s="42"/>
      <c r="G80" s="42"/>
    </row>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89" ht="18" customHeight="1" x14ac:dyDescent="0.3"/>
    <row r="90" ht="18" customHeight="1" x14ac:dyDescent="0.3"/>
    <row r="91" ht="18" customHeight="1" x14ac:dyDescent="0.3"/>
    <row r="92" ht="18" customHeight="1" x14ac:dyDescent="0.3"/>
    <row r="93" ht="18" customHeight="1" x14ac:dyDescent="0.3"/>
    <row r="94" ht="18" customHeight="1" x14ac:dyDescent="0.3"/>
    <row r="95" ht="18" customHeight="1" x14ac:dyDescent="0.3"/>
    <row r="96" ht="18" customHeight="1" x14ac:dyDescent="0.3"/>
  </sheetData>
  <mergeCells count="12">
    <mergeCell ref="H1:I1"/>
    <mergeCell ref="A2:I2"/>
    <mergeCell ref="A3:I3"/>
    <mergeCell ref="H4:I4"/>
    <mergeCell ref="D4:E4"/>
    <mergeCell ref="C5:C6"/>
    <mergeCell ref="F5:G5"/>
    <mergeCell ref="H5:I5"/>
    <mergeCell ref="A5:A6"/>
    <mergeCell ref="B5:B6"/>
    <mergeCell ref="D5:D6"/>
    <mergeCell ref="E5:E6"/>
  </mergeCells>
  <phoneticPr fontId="3" type="noConversion"/>
  <printOptions horizontalCentered="1"/>
  <pageMargins left="0.118110236220472" right="0.118110236220472" top="0.28999999999999998" bottom="0.53" header="0.2" footer="0.21"/>
  <pageSetup paperSize="9" scale="90" orientation="landscape" verticalDpi="0" r:id="rId1"/>
  <headerFooter alignWithMargins="0">
    <oddFooter>&amp;F&amp;RPage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77"/>
  <sheetViews>
    <sheetView workbookViewId="0"/>
  </sheetViews>
  <sheetFormatPr defaultColWidth="10.42578125" defaultRowHeight="18.75" x14ac:dyDescent="0.2"/>
  <cols>
    <col min="1" max="1" width="6.5703125" style="50" customWidth="1"/>
    <col min="2" max="2" width="52.140625" style="50" customWidth="1"/>
    <col min="3" max="6" width="14.140625" style="50" bestFit="1" customWidth="1"/>
    <col min="7" max="8" width="13.5703125" style="50" bestFit="1" customWidth="1"/>
    <col min="9" max="10" width="12.42578125" style="50" customWidth="1"/>
    <col min="11" max="11" width="13.7109375" style="50" customWidth="1"/>
    <col min="12" max="12" width="13.28515625" style="50" customWidth="1"/>
    <col min="13" max="16384" width="10.42578125" style="50"/>
  </cols>
  <sheetData>
    <row r="1" spans="1:14" ht="19.5" customHeight="1" x14ac:dyDescent="0.3">
      <c r="A1" s="14"/>
      <c r="B1" s="14"/>
      <c r="C1" s="49"/>
      <c r="D1" s="49"/>
      <c r="E1" s="49"/>
      <c r="F1" s="49"/>
      <c r="G1" s="49"/>
      <c r="H1" s="49"/>
      <c r="I1" s="49"/>
      <c r="J1" s="49"/>
      <c r="K1" s="184" t="s">
        <v>273</v>
      </c>
      <c r="L1" s="184"/>
    </row>
    <row r="2" spans="1:14" ht="18.75" customHeight="1" x14ac:dyDescent="0.2">
      <c r="A2" s="184" t="s">
        <v>256</v>
      </c>
      <c r="B2" s="184"/>
      <c r="C2" s="184"/>
      <c r="D2" s="184"/>
      <c r="E2" s="184"/>
      <c r="F2" s="184"/>
      <c r="G2" s="184"/>
      <c r="H2" s="184"/>
      <c r="I2" s="184"/>
      <c r="J2" s="184"/>
      <c r="K2" s="184"/>
      <c r="L2" s="184"/>
    </row>
    <row r="3" spans="1:14" x14ac:dyDescent="0.3">
      <c r="A3" s="181" t="str">
        <f>'bieu 12 (PL05)'!A3:I3</f>
        <v>(Kèm theo Tờ trình số:           /TTr-UBND ngày      /11/2024 của UBND huyện Phụng Hiệp)</v>
      </c>
      <c r="B3" s="181"/>
      <c r="C3" s="181"/>
      <c r="D3" s="181"/>
      <c r="E3" s="181"/>
      <c r="F3" s="181"/>
      <c r="G3" s="181"/>
      <c r="H3" s="181"/>
      <c r="I3" s="181"/>
      <c r="J3" s="181"/>
      <c r="K3" s="181"/>
      <c r="L3" s="181"/>
    </row>
    <row r="4" spans="1:14" ht="25.5" customHeight="1" x14ac:dyDescent="0.2">
      <c r="K4" s="185" t="s">
        <v>25</v>
      </c>
      <c r="L4" s="185"/>
    </row>
    <row r="5" spans="1:14" ht="25.5" customHeight="1" x14ac:dyDescent="0.2">
      <c r="A5" s="187" t="s">
        <v>3</v>
      </c>
      <c r="B5" s="187" t="s">
        <v>26</v>
      </c>
      <c r="C5" s="187" t="s">
        <v>274</v>
      </c>
      <c r="D5" s="187"/>
      <c r="E5" s="187" t="s">
        <v>281</v>
      </c>
      <c r="F5" s="187"/>
      <c r="G5" s="187" t="s">
        <v>282</v>
      </c>
      <c r="H5" s="187"/>
      <c r="I5" s="178" t="s">
        <v>279</v>
      </c>
      <c r="J5" s="178"/>
      <c r="K5" s="178"/>
      <c r="L5" s="178"/>
    </row>
    <row r="6" spans="1:14" s="51" customFormat="1" ht="54" customHeight="1" x14ac:dyDescent="0.2">
      <c r="A6" s="187"/>
      <c r="B6" s="187"/>
      <c r="C6" s="187"/>
      <c r="D6" s="187"/>
      <c r="E6" s="187"/>
      <c r="F6" s="187"/>
      <c r="G6" s="187"/>
      <c r="H6" s="187"/>
      <c r="I6" s="187" t="s">
        <v>285</v>
      </c>
      <c r="J6" s="187"/>
      <c r="K6" s="187" t="s">
        <v>286</v>
      </c>
      <c r="L6" s="187"/>
    </row>
    <row r="7" spans="1:14" s="51" customFormat="1" ht="38.25" customHeight="1" x14ac:dyDescent="0.2">
      <c r="A7" s="187"/>
      <c r="B7" s="187"/>
      <c r="C7" s="52" t="s">
        <v>27</v>
      </c>
      <c r="D7" s="52" t="s">
        <v>28</v>
      </c>
      <c r="E7" s="52" t="s">
        <v>27</v>
      </c>
      <c r="F7" s="52" t="s">
        <v>28</v>
      </c>
      <c r="G7" s="52" t="s">
        <v>27</v>
      </c>
      <c r="H7" s="52" t="s">
        <v>28</v>
      </c>
      <c r="I7" s="52" t="s">
        <v>27</v>
      </c>
      <c r="J7" s="52" t="s">
        <v>28</v>
      </c>
      <c r="K7" s="52" t="s">
        <v>27</v>
      </c>
      <c r="L7" s="52" t="s">
        <v>28</v>
      </c>
    </row>
    <row r="8" spans="1:14" s="61" customFormat="1" x14ac:dyDescent="0.2">
      <c r="A8" s="85" t="s">
        <v>0</v>
      </c>
      <c r="B8" s="85" t="s">
        <v>1</v>
      </c>
      <c r="C8" s="122" t="s">
        <v>22</v>
      </c>
      <c r="D8" s="122" t="s">
        <v>23</v>
      </c>
      <c r="E8" s="122" t="s">
        <v>118</v>
      </c>
      <c r="F8" s="122" t="s">
        <v>11</v>
      </c>
      <c r="G8" s="122" t="s">
        <v>18</v>
      </c>
      <c r="H8" s="122" t="s">
        <v>19</v>
      </c>
      <c r="I8" s="122" t="s">
        <v>98</v>
      </c>
      <c r="J8" s="122" t="s">
        <v>100</v>
      </c>
      <c r="K8" s="122" t="s">
        <v>102</v>
      </c>
      <c r="L8" s="122" t="s">
        <v>104</v>
      </c>
    </row>
    <row r="9" spans="1:14" s="53" customFormat="1" x14ac:dyDescent="0.2">
      <c r="A9" s="52"/>
      <c r="B9" s="86" t="s">
        <v>29</v>
      </c>
      <c r="C9" s="87">
        <f t="shared" ref="C9:H9" si="0">C10+C63+C64+C71</f>
        <v>114010</v>
      </c>
      <c r="D9" s="87">
        <f t="shared" si="0"/>
        <v>110610</v>
      </c>
      <c r="E9" s="87">
        <f t="shared" si="0"/>
        <v>183810</v>
      </c>
      <c r="F9" s="87">
        <f t="shared" si="0"/>
        <v>110610</v>
      </c>
      <c r="G9" s="87">
        <f t="shared" si="0"/>
        <v>183810</v>
      </c>
      <c r="H9" s="87">
        <f t="shared" si="0"/>
        <v>110610</v>
      </c>
      <c r="I9" s="88">
        <f>E9/C9*100</f>
        <v>161.22269976317867</v>
      </c>
      <c r="J9" s="88">
        <f>F9/D9*100</f>
        <v>100</v>
      </c>
      <c r="K9" s="88">
        <f>G9/E9*100</f>
        <v>100</v>
      </c>
      <c r="L9" s="88">
        <f>H9/F9*100</f>
        <v>100</v>
      </c>
    </row>
    <row r="10" spans="1:14" s="53" customFormat="1" x14ac:dyDescent="0.2">
      <c r="A10" s="52" t="s">
        <v>30</v>
      </c>
      <c r="B10" s="86" t="s">
        <v>31</v>
      </c>
      <c r="C10" s="87">
        <f t="shared" ref="C10:H10" si="1">C15+C18+C22+C27+C32+C33+C36+C37+C44+C45+C46+C48+C51+C52+C53+C54+C59+C60+C61+C62</f>
        <v>114010</v>
      </c>
      <c r="D10" s="87">
        <f t="shared" si="1"/>
        <v>110610</v>
      </c>
      <c r="E10" s="87">
        <f t="shared" si="1"/>
        <v>183810</v>
      </c>
      <c r="F10" s="87">
        <f t="shared" si="1"/>
        <v>110610</v>
      </c>
      <c r="G10" s="87">
        <f t="shared" si="1"/>
        <v>183810</v>
      </c>
      <c r="H10" s="87">
        <f t="shared" si="1"/>
        <v>110610</v>
      </c>
      <c r="I10" s="88">
        <f t="shared" ref="I10:I58" si="2">E10/C10*100</f>
        <v>161.22269976317867</v>
      </c>
      <c r="J10" s="88">
        <f t="shared" ref="J10:J55" si="3">F10/D10*100</f>
        <v>100</v>
      </c>
      <c r="K10" s="88">
        <f>G10/E10*100</f>
        <v>100</v>
      </c>
      <c r="L10" s="88">
        <f>H10/F10*100</f>
        <v>100</v>
      </c>
      <c r="N10" s="57"/>
    </row>
    <row r="11" spans="1:14" s="53" customFormat="1" ht="37.5" hidden="1" x14ac:dyDescent="0.2">
      <c r="A11" s="89" t="s">
        <v>32</v>
      </c>
      <c r="B11" s="86" t="s">
        <v>33</v>
      </c>
      <c r="C11" s="87"/>
      <c r="D11" s="87"/>
      <c r="E11" s="87"/>
      <c r="F11" s="87"/>
      <c r="G11" s="87"/>
      <c r="H11" s="87"/>
      <c r="I11" s="88" t="e">
        <f t="shared" si="2"/>
        <v>#DIV/0!</v>
      </c>
      <c r="J11" s="88" t="e">
        <f t="shared" si="3"/>
        <v>#DIV/0!</v>
      </c>
      <c r="K11" s="88" t="e">
        <f>#REF!/G11*100</f>
        <v>#REF!</v>
      </c>
      <c r="L11" s="88" t="e">
        <f>#REF!/H11*100</f>
        <v>#REF!</v>
      </c>
      <c r="N11" s="57"/>
    </row>
    <row r="12" spans="1:14" s="53" customFormat="1" ht="56.25" hidden="1" x14ac:dyDescent="0.2">
      <c r="A12" s="89" t="s">
        <v>32</v>
      </c>
      <c r="B12" s="86" t="s">
        <v>34</v>
      </c>
      <c r="C12" s="87"/>
      <c r="D12" s="87"/>
      <c r="E12" s="87"/>
      <c r="F12" s="87"/>
      <c r="G12" s="87"/>
      <c r="H12" s="87"/>
      <c r="I12" s="88" t="e">
        <f t="shared" si="2"/>
        <v>#DIV/0!</v>
      </c>
      <c r="J12" s="88" t="e">
        <f t="shared" si="3"/>
        <v>#DIV/0!</v>
      </c>
      <c r="K12" s="88" t="e">
        <f>#REF!/G12*100</f>
        <v>#REF!</v>
      </c>
      <c r="L12" s="88" t="e">
        <f>#REF!/H12*100</f>
        <v>#REF!</v>
      </c>
    </row>
    <row r="13" spans="1:14" s="53" customFormat="1" ht="37.5" hidden="1" x14ac:dyDescent="0.2">
      <c r="A13" s="52" t="s">
        <v>32</v>
      </c>
      <c r="B13" s="86" t="s">
        <v>35</v>
      </c>
      <c r="C13" s="87"/>
      <c r="D13" s="87"/>
      <c r="E13" s="87"/>
      <c r="F13" s="87"/>
      <c r="G13" s="87"/>
      <c r="H13" s="87"/>
      <c r="I13" s="88" t="e">
        <f t="shared" si="2"/>
        <v>#DIV/0!</v>
      </c>
      <c r="J13" s="88" t="e">
        <f t="shared" si="3"/>
        <v>#DIV/0!</v>
      </c>
      <c r="K13" s="88" t="e">
        <f>#REF!/G13*100</f>
        <v>#REF!</v>
      </c>
      <c r="L13" s="88" t="e">
        <f>#REF!/H13*100</f>
        <v>#REF!</v>
      </c>
    </row>
    <row r="14" spans="1:14" s="53" customFormat="1" ht="56.25" hidden="1" x14ac:dyDescent="0.2">
      <c r="A14" s="52" t="s">
        <v>32</v>
      </c>
      <c r="B14" s="86" t="s">
        <v>36</v>
      </c>
      <c r="C14" s="87"/>
      <c r="D14" s="87"/>
      <c r="E14" s="87"/>
      <c r="F14" s="87"/>
      <c r="G14" s="87"/>
      <c r="H14" s="87"/>
      <c r="I14" s="88" t="e">
        <f t="shared" si="2"/>
        <v>#DIV/0!</v>
      </c>
      <c r="J14" s="88" t="e">
        <f t="shared" si="3"/>
        <v>#DIV/0!</v>
      </c>
      <c r="K14" s="88" t="e">
        <f>#REF!/G14*100</f>
        <v>#REF!</v>
      </c>
      <c r="L14" s="88" t="e">
        <f>#REF!/H14*100</f>
        <v>#REF!</v>
      </c>
    </row>
    <row r="15" spans="1:14" ht="37.5" hidden="1" x14ac:dyDescent="0.2">
      <c r="A15" s="84">
        <v>1</v>
      </c>
      <c r="B15" s="90" t="s">
        <v>37</v>
      </c>
      <c r="C15" s="91"/>
      <c r="D15" s="91"/>
      <c r="E15" s="91"/>
      <c r="F15" s="91"/>
      <c r="G15" s="91"/>
      <c r="H15" s="91"/>
      <c r="I15" s="88" t="e">
        <f t="shared" si="2"/>
        <v>#DIV/0!</v>
      </c>
      <c r="J15" s="88" t="e">
        <f t="shared" si="3"/>
        <v>#DIV/0!</v>
      </c>
      <c r="K15" s="88" t="e">
        <f>#REF!/G15*100</f>
        <v>#REF!</v>
      </c>
      <c r="L15" s="88" t="e">
        <f>#REF!/H15*100</f>
        <v>#REF!</v>
      </c>
    </row>
    <row r="16" spans="1:14" s="61" customFormat="1" ht="37.5" hidden="1" x14ac:dyDescent="0.2">
      <c r="A16" s="85"/>
      <c r="B16" s="93" t="s">
        <v>38</v>
      </c>
      <c r="C16" s="94"/>
      <c r="D16" s="94"/>
      <c r="E16" s="94"/>
      <c r="F16" s="94"/>
      <c r="G16" s="94"/>
      <c r="H16" s="94"/>
      <c r="I16" s="88" t="e">
        <f t="shared" si="2"/>
        <v>#DIV/0!</v>
      </c>
      <c r="J16" s="88" t="e">
        <f t="shared" si="3"/>
        <v>#DIV/0!</v>
      </c>
      <c r="K16" s="88" t="e">
        <f>#REF!/G16*100</f>
        <v>#REF!</v>
      </c>
      <c r="L16" s="88" t="e">
        <f>#REF!/H16*100</f>
        <v>#REF!</v>
      </c>
    </row>
    <row r="17" spans="1:12" s="61" customFormat="1" hidden="1" x14ac:dyDescent="0.2">
      <c r="A17" s="85"/>
      <c r="B17" s="93" t="s">
        <v>39</v>
      </c>
      <c r="C17" s="94"/>
      <c r="D17" s="94"/>
      <c r="E17" s="94"/>
      <c r="F17" s="94"/>
      <c r="G17" s="94"/>
      <c r="H17" s="94"/>
      <c r="I17" s="88" t="e">
        <f t="shared" si="2"/>
        <v>#DIV/0!</v>
      </c>
      <c r="J17" s="88" t="e">
        <f t="shared" si="3"/>
        <v>#DIV/0!</v>
      </c>
      <c r="K17" s="88" t="e">
        <f>#REF!/G17*100</f>
        <v>#REF!</v>
      </c>
      <c r="L17" s="88" t="e">
        <f>#REF!/H17*100</f>
        <v>#REF!</v>
      </c>
    </row>
    <row r="18" spans="1:12" ht="37.5" hidden="1" x14ac:dyDescent="0.2">
      <c r="A18" s="84">
        <v>2</v>
      </c>
      <c r="B18" s="90" t="s">
        <v>40</v>
      </c>
      <c r="C18" s="91">
        <f t="shared" ref="C18:H18" si="4">SUM(C19:C20)</f>
        <v>0</v>
      </c>
      <c r="D18" s="91">
        <f t="shared" si="4"/>
        <v>0</v>
      </c>
      <c r="E18" s="91">
        <f t="shared" si="4"/>
        <v>0</v>
      </c>
      <c r="F18" s="91">
        <f t="shared" si="4"/>
        <v>0</v>
      </c>
      <c r="G18" s="91">
        <f t="shared" si="4"/>
        <v>0</v>
      </c>
      <c r="H18" s="91">
        <f t="shared" si="4"/>
        <v>0</v>
      </c>
      <c r="I18" s="88" t="e">
        <f t="shared" si="2"/>
        <v>#DIV/0!</v>
      </c>
      <c r="J18" s="88" t="e">
        <f t="shared" si="3"/>
        <v>#DIV/0!</v>
      </c>
      <c r="K18" s="88" t="e">
        <f>#REF!/G18*100</f>
        <v>#REF!</v>
      </c>
      <c r="L18" s="88" t="e">
        <f>#REF!/H18*100</f>
        <v>#REF!</v>
      </c>
    </row>
    <row r="19" spans="1:12" s="61" customFormat="1" ht="37.5" hidden="1" x14ac:dyDescent="0.2">
      <c r="A19" s="85"/>
      <c r="B19" s="93" t="s">
        <v>38</v>
      </c>
      <c r="C19" s="95"/>
      <c r="D19" s="95"/>
      <c r="E19" s="95"/>
      <c r="F19" s="95"/>
      <c r="G19" s="95"/>
      <c r="H19" s="95"/>
      <c r="I19" s="88" t="e">
        <f t="shared" si="2"/>
        <v>#DIV/0!</v>
      </c>
      <c r="J19" s="88" t="e">
        <f t="shared" si="3"/>
        <v>#DIV/0!</v>
      </c>
      <c r="K19" s="88" t="e">
        <f>#REF!/G19*100</f>
        <v>#REF!</v>
      </c>
      <c r="L19" s="88" t="e">
        <f>#REF!/H19*100</f>
        <v>#REF!</v>
      </c>
    </row>
    <row r="20" spans="1:12" s="61" customFormat="1" hidden="1" x14ac:dyDescent="0.2">
      <c r="A20" s="85"/>
      <c r="B20" s="93" t="s">
        <v>39</v>
      </c>
      <c r="C20" s="95"/>
      <c r="D20" s="95"/>
      <c r="E20" s="95"/>
      <c r="F20" s="95"/>
      <c r="G20" s="95"/>
      <c r="H20" s="95"/>
      <c r="I20" s="88" t="e">
        <f t="shared" si="2"/>
        <v>#DIV/0!</v>
      </c>
      <c r="J20" s="88" t="e">
        <f t="shared" si="3"/>
        <v>#DIV/0!</v>
      </c>
      <c r="K20" s="88" t="e">
        <f>#REF!/G20*100</f>
        <v>#REF!</v>
      </c>
      <c r="L20" s="88" t="e">
        <f>#REF!/H20*100</f>
        <v>#REF!</v>
      </c>
    </row>
    <row r="21" spans="1:12" s="61" customFormat="1" hidden="1" x14ac:dyDescent="0.2">
      <c r="A21" s="85"/>
      <c r="B21" s="93" t="s">
        <v>41</v>
      </c>
      <c r="C21" s="95"/>
      <c r="D21" s="95"/>
      <c r="E21" s="95"/>
      <c r="F21" s="95"/>
      <c r="G21" s="95"/>
      <c r="H21" s="95"/>
      <c r="I21" s="88" t="e">
        <f t="shared" si="2"/>
        <v>#DIV/0!</v>
      </c>
      <c r="J21" s="88" t="e">
        <f t="shared" si="3"/>
        <v>#DIV/0!</v>
      </c>
      <c r="K21" s="88" t="e">
        <f>#REF!/G21*100</f>
        <v>#REF!</v>
      </c>
      <c r="L21" s="88" t="e">
        <f>#REF!/H21*100</f>
        <v>#REF!</v>
      </c>
    </row>
    <row r="22" spans="1:12" ht="37.5" hidden="1" x14ac:dyDescent="0.2">
      <c r="A22" s="84">
        <v>3</v>
      </c>
      <c r="B22" s="90" t="s">
        <v>42</v>
      </c>
      <c r="C22" s="91"/>
      <c r="D22" s="91"/>
      <c r="E22" s="91"/>
      <c r="F22" s="91"/>
      <c r="G22" s="91"/>
      <c r="H22" s="91"/>
      <c r="I22" s="88" t="e">
        <f t="shared" si="2"/>
        <v>#DIV/0!</v>
      </c>
      <c r="J22" s="88" t="e">
        <f t="shared" si="3"/>
        <v>#DIV/0!</v>
      </c>
      <c r="K22" s="88" t="e">
        <f>#REF!/G22*100</f>
        <v>#REF!</v>
      </c>
      <c r="L22" s="88" t="e">
        <f>#REF!/H22*100</f>
        <v>#REF!</v>
      </c>
    </row>
    <row r="23" spans="1:12" s="61" customFormat="1" ht="37.5" hidden="1" x14ac:dyDescent="0.2">
      <c r="A23" s="85"/>
      <c r="B23" s="93" t="s">
        <v>38</v>
      </c>
      <c r="C23" s="95"/>
      <c r="D23" s="95"/>
      <c r="E23" s="95"/>
      <c r="F23" s="95"/>
      <c r="G23" s="95"/>
      <c r="H23" s="95"/>
      <c r="I23" s="88" t="e">
        <f t="shared" si="2"/>
        <v>#DIV/0!</v>
      </c>
      <c r="J23" s="88" t="e">
        <f t="shared" si="3"/>
        <v>#DIV/0!</v>
      </c>
      <c r="K23" s="88" t="e">
        <f>#REF!/G23*100</f>
        <v>#REF!</v>
      </c>
      <c r="L23" s="88" t="e">
        <f>#REF!/H23*100</f>
        <v>#REF!</v>
      </c>
    </row>
    <row r="24" spans="1:12" s="61" customFormat="1" hidden="1" x14ac:dyDescent="0.2">
      <c r="A24" s="85"/>
      <c r="B24" s="93" t="s">
        <v>39</v>
      </c>
      <c r="C24" s="95"/>
      <c r="D24" s="95"/>
      <c r="E24" s="95"/>
      <c r="F24" s="95"/>
      <c r="G24" s="95"/>
      <c r="H24" s="95"/>
      <c r="I24" s="88" t="e">
        <f t="shared" si="2"/>
        <v>#DIV/0!</v>
      </c>
      <c r="J24" s="88" t="e">
        <f t="shared" si="3"/>
        <v>#DIV/0!</v>
      </c>
      <c r="K24" s="88" t="e">
        <f>#REF!/G24*100</f>
        <v>#REF!</v>
      </c>
      <c r="L24" s="88" t="e">
        <f>#REF!/H24*100</f>
        <v>#REF!</v>
      </c>
    </row>
    <row r="25" spans="1:12" s="61" customFormat="1" hidden="1" x14ac:dyDescent="0.2">
      <c r="A25" s="85"/>
      <c r="B25" s="93" t="s">
        <v>41</v>
      </c>
      <c r="C25" s="95"/>
      <c r="D25" s="95"/>
      <c r="E25" s="95"/>
      <c r="F25" s="95"/>
      <c r="G25" s="95"/>
      <c r="H25" s="95"/>
      <c r="I25" s="88" t="e">
        <f t="shared" si="2"/>
        <v>#DIV/0!</v>
      </c>
      <c r="J25" s="88" t="e">
        <f t="shared" si="3"/>
        <v>#DIV/0!</v>
      </c>
      <c r="K25" s="88" t="e">
        <f>#REF!/G25*100</f>
        <v>#REF!</v>
      </c>
      <c r="L25" s="88" t="e">
        <f>#REF!/H25*100</f>
        <v>#REF!</v>
      </c>
    </row>
    <row r="26" spans="1:12" s="61" customFormat="1" hidden="1" x14ac:dyDescent="0.2">
      <c r="A26" s="85"/>
      <c r="B26" s="93" t="s">
        <v>43</v>
      </c>
      <c r="C26" s="95"/>
      <c r="D26" s="95"/>
      <c r="E26" s="95"/>
      <c r="F26" s="95"/>
      <c r="G26" s="95"/>
      <c r="H26" s="95"/>
      <c r="I26" s="88" t="e">
        <f t="shared" si="2"/>
        <v>#DIV/0!</v>
      </c>
      <c r="J26" s="88" t="e">
        <f t="shared" si="3"/>
        <v>#DIV/0!</v>
      </c>
      <c r="K26" s="88" t="e">
        <f>#REF!/G26*100</f>
        <v>#REF!</v>
      </c>
      <c r="L26" s="88" t="e">
        <f>#REF!/H26*100</f>
        <v>#REF!</v>
      </c>
    </row>
    <row r="27" spans="1:12" x14ac:dyDescent="0.2">
      <c r="A27" s="84">
        <v>1</v>
      </c>
      <c r="B27" s="96" t="s">
        <v>44</v>
      </c>
      <c r="C27" s="91">
        <f t="shared" ref="C27:H27" si="5">SUM(C28:C31)</f>
        <v>49900</v>
      </c>
      <c r="D27" s="91">
        <f t="shared" si="5"/>
        <v>49900</v>
      </c>
      <c r="E27" s="91">
        <f t="shared" si="5"/>
        <v>49900</v>
      </c>
      <c r="F27" s="91">
        <f t="shared" si="5"/>
        <v>49900</v>
      </c>
      <c r="G27" s="91">
        <f t="shared" si="5"/>
        <v>49900</v>
      </c>
      <c r="H27" s="91">
        <f t="shared" si="5"/>
        <v>49900</v>
      </c>
      <c r="I27" s="92">
        <f t="shared" si="2"/>
        <v>100</v>
      </c>
      <c r="J27" s="92">
        <f t="shared" si="3"/>
        <v>100</v>
      </c>
      <c r="K27" s="92">
        <f>E27/G27*100</f>
        <v>100</v>
      </c>
      <c r="L27" s="92">
        <f>F27/H27*100</f>
        <v>100</v>
      </c>
    </row>
    <row r="28" spans="1:12" s="61" customFormat="1" x14ac:dyDescent="0.2">
      <c r="A28" s="85"/>
      <c r="B28" s="93" t="s">
        <v>45</v>
      </c>
      <c r="C28" s="95">
        <v>49900</v>
      </c>
      <c r="D28" s="95">
        <f>C28</f>
        <v>49900</v>
      </c>
      <c r="E28" s="95">
        <v>49900</v>
      </c>
      <c r="F28" s="95">
        <f>E28</f>
        <v>49900</v>
      </c>
      <c r="G28" s="95">
        <v>49900</v>
      </c>
      <c r="H28" s="95">
        <f>G28</f>
        <v>49900</v>
      </c>
      <c r="I28" s="92">
        <f t="shared" si="2"/>
        <v>100</v>
      </c>
      <c r="J28" s="92">
        <f t="shared" si="3"/>
        <v>100</v>
      </c>
      <c r="K28" s="92">
        <f>E28/G28*100</f>
        <v>100</v>
      </c>
      <c r="L28" s="92">
        <f>G28/H28*100</f>
        <v>100</v>
      </c>
    </row>
    <row r="29" spans="1:12" s="61" customFormat="1" ht="37.5" x14ac:dyDescent="0.2">
      <c r="A29" s="85"/>
      <c r="B29" s="93" t="s">
        <v>46</v>
      </c>
      <c r="C29" s="95"/>
      <c r="D29" s="95"/>
      <c r="E29" s="95"/>
      <c r="F29" s="95"/>
      <c r="G29" s="95"/>
      <c r="H29" s="95"/>
      <c r="I29" s="92"/>
      <c r="J29" s="92"/>
      <c r="K29" s="92"/>
      <c r="L29" s="92"/>
    </row>
    <row r="30" spans="1:12" s="61" customFormat="1" x14ac:dyDescent="0.2">
      <c r="A30" s="85"/>
      <c r="B30" s="93" t="s">
        <v>41</v>
      </c>
      <c r="C30" s="95"/>
      <c r="D30" s="95"/>
      <c r="E30" s="95"/>
      <c r="F30" s="95"/>
      <c r="G30" s="95"/>
      <c r="H30" s="95"/>
      <c r="I30" s="92"/>
      <c r="J30" s="92"/>
      <c r="K30" s="92"/>
      <c r="L30" s="92"/>
    </row>
    <row r="31" spans="1:12" s="61" customFormat="1" x14ac:dyDescent="0.2">
      <c r="A31" s="85"/>
      <c r="B31" s="93" t="s">
        <v>47</v>
      </c>
      <c r="C31" s="95"/>
      <c r="D31" s="95"/>
      <c r="E31" s="95"/>
      <c r="F31" s="95"/>
      <c r="G31" s="95"/>
      <c r="H31" s="95"/>
      <c r="I31" s="92"/>
      <c r="J31" s="92"/>
      <c r="K31" s="92"/>
      <c r="L31" s="92"/>
    </row>
    <row r="32" spans="1:12" x14ac:dyDescent="0.2">
      <c r="A32" s="84">
        <v>2</v>
      </c>
      <c r="B32" s="96" t="s">
        <v>48</v>
      </c>
      <c r="C32" s="91">
        <v>25610</v>
      </c>
      <c r="D32" s="91">
        <f>C32</f>
        <v>25610</v>
      </c>
      <c r="E32" s="91">
        <v>25610</v>
      </c>
      <c r="F32" s="91">
        <f>E32</f>
        <v>25610</v>
      </c>
      <c r="G32" s="91">
        <v>25610</v>
      </c>
      <c r="H32" s="91">
        <f>G32</f>
        <v>25610</v>
      </c>
      <c r="I32" s="92">
        <f t="shared" si="2"/>
        <v>100</v>
      </c>
      <c r="J32" s="92">
        <f t="shared" si="3"/>
        <v>100</v>
      </c>
      <c r="K32" s="92">
        <f>E32/G32*100</f>
        <v>100</v>
      </c>
      <c r="L32" s="92">
        <f>F32/H32*100</f>
        <v>100</v>
      </c>
    </row>
    <row r="33" spans="1:12" x14ac:dyDescent="0.2">
      <c r="A33" s="84">
        <v>3</v>
      </c>
      <c r="B33" s="96" t="s">
        <v>49</v>
      </c>
      <c r="C33" s="91"/>
      <c r="D33" s="91"/>
      <c r="E33" s="91"/>
      <c r="F33" s="91"/>
      <c r="G33" s="91"/>
      <c r="H33" s="91"/>
      <c r="I33" s="92"/>
      <c r="J33" s="92"/>
      <c r="K33" s="92"/>
      <c r="L33" s="92"/>
    </row>
    <row r="34" spans="1:12" s="61" customFormat="1" x14ac:dyDescent="0.2">
      <c r="A34" s="85"/>
      <c r="B34" s="93" t="s">
        <v>50</v>
      </c>
      <c r="C34" s="95"/>
      <c r="D34" s="95"/>
      <c r="E34" s="95"/>
      <c r="F34" s="95"/>
      <c r="G34" s="95"/>
      <c r="H34" s="95"/>
      <c r="I34" s="92"/>
      <c r="J34" s="92"/>
      <c r="K34" s="92"/>
      <c r="L34" s="92"/>
    </row>
    <row r="35" spans="1:12" s="61" customFormat="1" x14ac:dyDescent="0.2">
      <c r="A35" s="85"/>
      <c r="B35" s="93" t="s">
        <v>51</v>
      </c>
      <c r="C35" s="95"/>
      <c r="D35" s="95"/>
      <c r="E35" s="95"/>
      <c r="F35" s="95"/>
      <c r="G35" s="95"/>
      <c r="H35" s="95"/>
      <c r="I35" s="92"/>
      <c r="J35" s="92"/>
      <c r="K35" s="92"/>
      <c r="L35" s="92"/>
    </row>
    <row r="36" spans="1:12" x14ac:dyDescent="0.2">
      <c r="A36" s="84">
        <v>4</v>
      </c>
      <c r="B36" s="96" t="s">
        <v>52</v>
      </c>
      <c r="C36" s="91">
        <v>24000</v>
      </c>
      <c r="D36" s="91">
        <f>C36</f>
        <v>24000</v>
      </c>
      <c r="E36" s="91">
        <v>24000</v>
      </c>
      <c r="F36" s="91">
        <f>E36</f>
        <v>24000</v>
      </c>
      <c r="G36" s="91">
        <v>24000</v>
      </c>
      <c r="H36" s="91">
        <f>G36</f>
        <v>24000</v>
      </c>
      <c r="I36" s="92">
        <f t="shared" si="2"/>
        <v>100</v>
      </c>
      <c r="J36" s="92">
        <f t="shared" si="3"/>
        <v>100</v>
      </c>
      <c r="K36" s="92">
        <f t="shared" ref="K36:K58" si="6">E36/G36*100</f>
        <v>100</v>
      </c>
      <c r="L36" s="92">
        <f t="shared" ref="L36:L55" si="7">F36/H36*100</f>
        <v>100</v>
      </c>
    </row>
    <row r="37" spans="1:12" x14ac:dyDescent="0.2">
      <c r="A37" s="84">
        <v>5</v>
      </c>
      <c r="B37" s="96" t="s">
        <v>53</v>
      </c>
      <c r="C37" s="91">
        <v>5300</v>
      </c>
      <c r="D37" s="91">
        <f>C37</f>
        <v>5300</v>
      </c>
      <c r="E37" s="91">
        <v>5300</v>
      </c>
      <c r="F37" s="91">
        <f>E37</f>
        <v>5300</v>
      </c>
      <c r="G37" s="91">
        <v>5300</v>
      </c>
      <c r="H37" s="91">
        <f>G37</f>
        <v>5300</v>
      </c>
      <c r="I37" s="92">
        <f t="shared" si="2"/>
        <v>100</v>
      </c>
      <c r="J37" s="92">
        <f t="shared" si="3"/>
        <v>100</v>
      </c>
      <c r="K37" s="92">
        <f t="shared" si="6"/>
        <v>100</v>
      </c>
      <c r="L37" s="92">
        <f t="shared" si="7"/>
        <v>100</v>
      </c>
    </row>
    <row r="38" spans="1:12" s="61" customFormat="1" hidden="1" x14ac:dyDescent="0.2">
      <c r="A38" s="85"/>
      <c r="B38" s="93" t="s">
        <v>50</v>
      </c>
      <c r="C38" s="95"/>
      <c r="D38" s="95"/>
      <c r="E38" s="95"/>
      <c r="F38" s="95"/>
      <c r="G38" s="95"/>
      <c r="H38" s="95"/>
      <c r="I38" s="92" t="e">
        <f t="shared" si="2"/>
        <v>#DIV/0!</v>
      </c>
      <c r="J38" s="92" t="e">
        <f t="shared" si="3"/>
        <v>#DIV/0!</v>
      </c>
      <c r="K38" s="92" t="e">
        <f t="shared" si="6"/>
        <v>#DIV/0!</v>
      </c>
      <c r="L38" s="92" t="e">
        <f t="shared" si="7"/>
        <v>#DIV/0!</v>
      </c>
    </row>
    <row r="39" spans="1:12" s="61" customFormat="1" hidden="1" x14ac:dyDescent="0.2">
      <c r="A39" s="85"/>
      <c r="B39" s="93" t="s">
        <v>51</v>
      </c>
      <c r="C39" s="95"/>
      <c r="D39" s="95"/>
      <c r="E39" s="95"/>
      <c r="F39" s="95"/>
      <c r="G39" s="95"/>
      <c r="H39" s="95"/>
      <c r="I39" s="92" t="e">
        <f t="shared" si="2"/>
        <v>#DIV/0!</v>
      </c>
      <c r="J39" s="92" t="e">
        <f t="shared" si="3"/>
        <v>#DIV/0!</v>
      </c>
      <c r="K39" s="92" t="e">
        <f t="shared" si="6"/>
        <v>#DIV/0!</v>
      </c>
      <c r="L39" s="92" t="e">
        <f t="shared" si="7"/>
        <v>#DIV/0!</v>
      </c>
    </row>
    <row r="40" spans="1:12" s="61" customFormat="1" hidden="1" x14ac:dyDescent="0.2">
      <c r="A40" s="85"/>
      <c r="B40" s="93" t="s">
        <v>54</v>
      </c>
      <c r="C40" s="95">
        <v>0</v>
      </c>
      <c r="D40" s="95">
        <v>0</v>
      </c>
      <c r="E40" s="95">
        <v>0</v>
      </c>
      <c r="F40" s="95">
        <v>0</v>
      </c>
      <c r="G40" s="95">
        <v>0</v>
      </c>
      <c r="H40" s="95">
        <v>0</v>
      </c>
      <c r="I40" s="92" t="e">
        <f t="shared" si="2"/>
        <v>#DIV/0!</v>
      </c>
      <c r="J40" s="92" t="e">
        <f t="shared" si="3"/>
        <v>#DIV/0!</v>
      </c>
      <c r="K40" s="92" t="e">
        <f t="shared" si="6"/>
        <v>#DIV/0!</v>
      </c>
      <c r="L40" s="92" t="e">
        <f t="shared" si="7"/>
        <v>#DIV/0!</v>
      </c>
    </row>
    <row r="41" spans="1:12" s="61" customFormat="1" hidden="1" x14ac:dyDescent="0.2">
      <c r="A41" s="85"/>
      <c r="B41" s="93" t="s">
        <v>55</v>
      </c>
      <c r="C41" s="95">
        <v>0</v>
      </c>
      <c r="D41" s="95">
        <v>0</v>
      </c>
      <c r="E41" s="95">
        <v>0</v>
      </c>
      <c r="F41" s="95">
        <v>0</v>
      </c>
      <c r="G41" s="95">
        <v>0</v>
      </c>
      <c r="H41" s="95">
        <v>0</v>
      </c>
      <c r="I41" s="92" t="e">
        <f t="shared" si="2"/>
        <v>#DIV/0!</v>
      </c>
      <c r="J41" s="92" t="e">
        <f t="shared" si="3"/>
        <v>#DIV/0!</v>
      </c>
      <c r="K41" s="92" t="e">
        <f t="shared" si="6"/>
        <v>#DIV/0!</v>
      </c>
      <c r="L41" s="92" t="e">
        <f t="shared" si="7"/>
        <v>#DIV/0!</v>
      </c>
    </row>
    <row r="42" spans="1:12" s="61" customFormat="1" hidden="1" x14ac:dyDescent="0.2">
      <c r="A42" s="85"/>
      <c r="B42" s="93" t="s">
        <v>56</v>
      </c>
      <c r="C42" s="95"/>
      <c r="D42" s="95"/>
      <c r="E42" s="95"/>
      <c r="F42" s="95"/>
      <c r="G42" s="95"/>
      <c r="H42" s="95"/>
      <c r="I42" s="92" t="e">
        <f t="shared" si="2"/>
        <v>#DIV/0!</v>
      </c>
      <c r="J42" s="92" t="e">
        <f t="shared" si="3"/>
        <v>#DIV/0!</v>
      </c>
      <c r="K42" s="92" t="e">
        <f t="shared" si="6"/>
        <v>#DIV/0!</v>
      </c>
      <c r="L42" s="92" t="e">
        <f t="shared" si="7"/>
        <v>#DIV/0!</v>
      </c>
    </row>
    <row r="43" spans="1:12" s="61" customFormat="1" hidden="1" x14ac:dyDescent="0.2">
      <c r="A43" s="85"/>
      <c r="B43" s="93" t="s">
        <v>57</v>
      </c>
      <c r="C43" s="95"/>
      <c r="D43" s="95"/>
      <c r="E43" s="95"/>
      <c r="F43" s="95"/>
      <c r="G43" s="95"/>
      <c r="H43" s="95"/>
      <c r="I43" s="92" t="e">
        <f t="shared" si="2"/>
        <v>#DIV/0!</v>
      </c>
      <c r="J43" s="92" t="e">
        <f t="shared" si="3"/>
        <v>#DIV/0!</v>
      </c>
      <c r="K43" s="92" t="e">
        <f t="shared" si="6"/>
        <v>#DIV/0!</v>
      </c>
      <c r="L43" s="92" t="e">
        <f t="shared" si="7"/>
        <v>#DIV/0!</v>
      </c>
    </row>
    <row r="44" spans="1:12" hidden="1" x14ac:dyDescent="0.2">
      <c r="A44" s="84">
        <v>6</v>
      </c>
      <c r="B44" s="90" t="s">
        <v>58</v>
      </c>
      <c r="C44" s="91"/>
      <c r="D44" s="91"/>
      <c r="E44" s="91"/>
      <c r="F44" s="91"/>
      <c r="G44" s="91"/>
      <c r="H44" s="91"/>
      <c r="I44" s="92" t="e">
        <f t="shared" si="2"/>
        <v>#DIV/0!</v>
      </c>
      <c r="J44" s="92" t="e">
        <f t="shared" si="3"/>
        <v>#DIV/0!</v>
      </c>
      <c r="K44" s="92" t="e">
        <f t="shared" si="6"/>
        <v>#DIV/0!</v>
      </c>
      <c r="L44" s="92" t="e">
        <f t="shared" si="7"/>
        <v>#DIV/0!</v>
      </c>
    </row>
    <row r="45" spans="1:12" x14ac:dyDescent="0.2">
      <c r="A45" s="84">
        <v>6</v>
      </c>
      <c r="B45" s="96" t="s">
        <v>59</v>
      </c>
      <c r="C45" s="91"/>
      <c r="D45" s="91">
        <f>C45</f>
        <v>0</v>
      </c>
      <c r="E45" s="91"/>
      <c r="F45" s="91">
        <f>E45</f>
        <v>0</v>
      </c>
      <c r="G45" s="91"/>
      <c r="H45" s="91">
        <f>G45</f>
        <v>0</v>
      </c>
      <c r="I45" s="92"/>
      <c r="J45" s="92"/>
      <c r="K45" s="92"/>
      <c r="L45" s="92"/>
    </row>
    <row r="46" spans="1:12" x14ac:dyDescent="0.2">
      <c r="A46" s="84">
        <v>7</v>
      </c>
      <c r="B46" s="90" t="s">
        <v>60</v>
      </c>
      <c r="C46" s="91"/>
      <c r="D46" s="91"/>
      <c r="E46" s="91"/>
      <c r="F46" s="91"/>
      <c r="G46" s="91"/>
      <c r="H46" s="91"/>
      <c r="I46" s="92"/>
      <c r="J46" s="92"/>
      <c r="K46" s="92"/>
      <c r="L46" s="92"/>
    </row>
    <row r="47" spans="1:12" s="61" customFormat="1" x14ac:dyDescent="0.2">
      <c r="A47" s="85"/>
      <c r="B47" s="97" t="s">
        <v>61</v>
      </c>
      <c r="C47" s="95"/>
      <c r="D47" s="95"/>
      <c r="E47" s="95"/>
      <c r="F47" s="95"/>
      <c r="G47" s="95"/>
      <c r="H47" s="95"/>
      <c r="I47" s="92"/>
      <c r="J47" s="92"/>
      <c r="K47" s="92"/>
      <c r="L47" s="92"/>
    </row>
    <row r="48" spans="1:12" x14ac:dyDescent="0.2">
      <c r="A48" s="84">
        <v>8</v>
      </c>
      <c r="B48" s="96" t="s">
        <v>62</v>
      </c>
      <c r="C48" s="91">
        <v>3500</v>
      </c>
      <c r="D48" s="91">
        <f>C48</f>
        <v>3500</v>
      </c>
      <c r="E48" s="91">
        <v>73300</v>
      </c>
      <c r="F48" s="91">
        <v>3500</v>
      </c>
      <c r="G48" s="91">
        <f>3500+69800</f>
        <v>73300</v>
      </c>
      <c r="H48" s="91">
        <v>3500</v>
      </c>
      <c r="I48" s="92">
        <f t="shared" si="2"/>
        <v>2094.2857142857142</v>
      </c>
      <c r="J48" s="92">
        <f t="shared" si="3"/>
        <v>100</v>
      </c>
      <c r="K48" s="92">
        <f>E48/G48*100</f>
        <v>100</v>
      </c>
      <c r="L48" s="92">
        <f t="shared" si="7"/>
        <v>100</v>
      </c>
    </row>
    <row r="49" spans="1:12" s="61" customFormat="1" hidden="1" x14ac:dyDescent="0.2">
      <c r="A49" s="85"/>
      <c r="B49" s="97" t="s">
        <v>61</v>
      </c>
      <c r="C49" s="95"/>
      <c r="D49" s="95"/>
      <c r="E49" s="95"/>
      <c r="F49" s="95"/>
      <c r="G49" s="95"/>
      <c r="H49" s="95"/>
      <c r="I49" s="92" t="e">
        <f t="shared" si="2"/>
        <v>#DIV/0!</v>
      </c>
      <c r="J49" s="92" t="e">
        <f t="shared" si="3"/>
        <v>#DIV/0!</v>
      </c>
      <c r="K49" s="92" t="e">
        <f t="shared" si="6"/>
        <v>#DIV/0!</v>
      </c>
      <c r="L49" s="92" t="e">
        <f t="shared" si="7"/>
        <v>#DIV/0!</v>
      </c>
    </row>
    <row r="50" spans="1:12" s="61" customFormat="1" hidden="1" x14ac:dyDescent="0.2">
      <c r="A50" s="85"/>
      <c r="B50" s="97" t="s">
        <v>63</v>
      </c>
      <c r="C50" s="95"/>
      <c r="D50" s="95"/>
      <c r="E50" s="95"/>
      <c r="F50" s="95"/>
      <c r="G50" s="95"/>
      <c r="H50" s="95"/>
      <c r="I50" s="92" t="e">
        <f t="shared" si="2"/>
        <v>#DIV/0!</v>
      </c>
      <c r="J50" s="92" t="e">
        <f t="shared" si="3"/>
        <v>#DIV/0!</v>
      </c>
      <c r="K50" s="92" t="e">
        <f t="shared" si="6"/>
        <v>#DIV/0!</v>
      </c>
      <c r="L50" s="92" t="e">
        <f t="shared" si="7"/>
        <v>#DIV/0!</v>
      </c>
    </row>
    <row r="51" spans="1:12" ht="14.25" hidden="1" customHeight="1" x14ac:dyDescent="0.2">
      <c r="A51" s="84">
        <v>10</v>
      </c>
      <c r="B51" s="90" t="s">
        <v>64</v>
      </c>
      <c r="C51" s="91"/>
      <c r="D51" s="91"/>
      <c r="E51" s="91"/>
      <c r="F51" s="91"/>
      <c r="G51" s="91"/>
      <c r="H51" s="91"/>
      <c r="I51" s="92" t="e">
        <f t="shared" si="2"/>
        <v>#DIV/0!</v>
      </c>
      <c r="J51" s="92" t="e">
        <f t="shared" si="3"/>
        <v>#DIV/0!</v>
      </c>
      <c r="K51" s="92" t="e">
        <f t="shared" si="6"/>
        <v>#DIV/0!</v>
      </c>
      <c r="L51" s="92" t="e">
        <f t="shared" si="7"/>
        <v>#DIV/0!</v>
      </c>
    </row>
    <row r="52" spans="1:12" hidden="1" x14ac:dyDescent="0.2">
      <c r="A52" s="84">
        <v>11</v>
      </c>
      <c r="B52" s="90" t="s">
        <v>65</v>
      </c>
      <c r="C52" s="91"/>
      <c r="D52" s="91"/>
      <c r="E52" s="91"/>
      <c r="F52" s="91"/>
      <c r="G52" s="91"/>
      <c r="H52" s="91"/>
      <c r="I52" s="92" t="e">
        <f t="shared" si="2"/>
        <v>#DIV/0!</v>
      </c>
      <c r="J52" s="92" t="e">
        <f t="shared" si="3"/>
        <v>#DIV/0!</v>
      </c>
      <c r="K52" s="92" t="e">
        <f t="shared" si="6"/>
        <v>#DIV/0!</v>
      </c>
      <c r="L52" s="92" t="e">
        <f t="shared" si="7"/>
        <v>#DIV/0!</v>
      </c>
    </row>
    <row r="53" spans="1:12" x14ac:dyDescent="0.2">
      <c r="A53" s="84">
        <v>9</v>
      </c>
      <c r="B53" s="90" t="s">
        <v>66</v>
      </c>
      <c r="C53" s="91"/>
      <c r="D53" s="91"/>
      <c r="E53" s="91"/>
      <c r="F53" s="91"/>
      <c r="G53" s="91"/>
      <c r="H53" s="91"/>
      <c r="I53" s="92"/>
      <c r="J53" s="92"/>
      <c r="K53" s="92"/>
      <c r="L53" s="92"/>
    </row>
    <row r="54" spans="1:12" x14ac:dyDescent="0.2">
      <c r="A54" s="84">
        <v>10</v>
      </c>
      <c r="B54" s="90" t="s">
        <v>67</v>
      </c>
      <c r="C54" s="91">
        <f t="shared" ref="C54:H54" si="8">SUM(C55:C58)</f>
        <v>5700</v>
      </c>
      <c r="D54" s="91">
        <f t="shared" si="8"/>
        <v>2300</v>
      </c>
      <c r="E54" s="91">
        <f t="shared" si="8"/>
        <v>5700</v>
      </c>
      <c r="F54" s="91">
        <f t="shared" si="8"/>
        <v>2300</v>
      </c>
      <c r="G54" s="91">
        <f t="shared" si="8"/>
        <v>5700</v>
      </c>
      <c r="H54" s="91">
        <f t="shared" si="8"/>
        <v>2300</v>
      </c>
      <c r="I54" s="92">
        <f t="shared" si="2"/>
        <v>100</v>
      </c>
      <c r="J54" s="92">
        <f t="shared" si="3"/>
        <v>100</v>
      </c>
      <c r="K54" s="92">
        <f t="shared" si="6"/>
        <v>100</v>
      </c>
      <c r="L54" s="92">
        <f t="shared" si="7"/>
        <v>100</v>
      </c>
    </row>
    <row r="55" spans="1:12" x14ac:dyDescent="0.2">
      <c r="A55" s="84"/>
      <c r="B55" s="90" t="s">
        <v>68</v>
      </c>
      <c r="C55" s="91">
        <v>2300</v>
      </c>
      <c r="D55" s="91">
        <f>C55</f>
        <v>2300</v>
      </c>
      <c r="E55" s="91">
        <v>2300</v>
      </c>
      <c r="F55" s="91">
        <f>E55</f>
        <v>2300</v>
      </c>
      <c r="G55" s="91">
        <v>2300</v>
      </c>
      <c r="H55" s="91">
        <f>G55</f>
        <v>2300</v>
      </c>
      <c r="I55" s="92">
        <f t="shared" si="2"/>
        <v>100</v>
      </c>
      <c r="J55" s="92">
        <f t="shared" si="3"/>
        <v>100</v>
      </c>
      <c r="K55" s="92">
        <f t="shared" si="6"/>
        <v>100</v>
      </c>
      <c r="L55" s="92">
        <f t="shared" si="7"/>
        <v>100</v>
      </c>
    </row>
    <row r="56" spans="1:12" x14ac:dyDescent="0.2">
      <c r="A56" s="84"/>
      <c r="B56" s="90" t="s">
        <v>69</v>
      </c>
      <c r="C56" s="91"/>
      <c r="D56" s="91"/>
      <c r="E56" s="91"/>
      <c r="F56" s="91"/>
      <c r="G56" s="91"/>
      <c r="H56" s="91"/>
      <c r="I56" s="92"/>
      <c r="J56" s="92"/>
      <c r="K56" s="92"/>
      <c r="L56" s="92"/>
    </row>
    <row r="57" spans="1:12" s="61" customFormat="1" x14ac:dyDescent="0.2">
      <c r="A57" s="85"/>
      <c r="B57" s="93" t="s">
        <v>202</v>
      </c>
      <c r="C57" s="95">
        <v>400</v>
      </c>
      <c r="D57" s="95"/>
      <c r="E57" s="95">
        <v>400</v>
      </c>
      <c r="F57" s="95"/>
      <c r="G57" s="95">
        <v>400</v>
      </c>
      <c r="H57" s="95"/>
      <c r="I57" s="92">
        <f t="shared" si="2"/>
        <v>100</v>
      </c>
      <c r="J57" s="92"/>
      <c r="K57" s="92">
        <f t="shared" si="6"/>
        <v>100</v>
      </c>
      <c r="L57" s="92"/>
    </row>
    <row r="58" spans="1:12" s="61" customFormat="1" x14ac:dyDescent="0.2">
      <c r="A58" s="85"/>
      <c r="B58" s="93" t="s">
        <v>70</v>
      </c>
      <c r="C58" s="95">
        <v>3000</v>
      </c>
      <c r="D58" s="95"/>
      <c r="E58" s="95">
        <v>3000</v>
      </c>
      <c r="F58" s="95"/>
      <c r="G58" s="95">
        <v>3000</v>
      </c>
      <c r="H58" s="95"/>
      <c r="I58" s="92">
        <f t="shared" si="2"/>
        <v>100</v>
      </c>
      <c r="J58" s="92"/>
      <c r="K58" s="92">
        <f t="shared" si="6"/>
        <v>100</v>
      </c>
      <c r="L58" s="92"/>
    </row>
    <row r="59" spans="1:12" ht="37.5" hidden="1" x14ac:dyDescent="0.2">
      <c r="A59" s="62">
        <v>17</v>
      </c>
      <c r="B59" s="63" t="s">
        <v>71</v>
      </c>
      <c r="C59" s="64"/>
      <c r="D59" s="64"/>
      <c r="E59" s="64"/>
      <c r="F59" s="64"/>
      <c r="G59" s="64"/>
      <c r="H59" s="64"/>
      <c r="I59" s="64"/>
      <c r="J59" s="64"/>
      <c r="K59" s="64"/>
      <c r="L59" s="64"/>
    </row>
    <row r="60" spans="1:12" hidden="1" x14ac:dyDescent="0.2">
      <c r="A60" s="58">
        <v>18</v>
      </c>
      <c r="B60" s="59" t="s">
        <v>72</v>
      </c>
      <c r="C60" s="60"/>
      <c r="D60" s="60"/>
      <c r="E60" s="60"/>
      <c r="F60" s="60"/>
      <c r="G60" s="60"/>
      <c r="H60" s="60"/>
      <c r="I60" s="60"/>
      <c r="J60" s="60"/>
      <c r="K60" s="60"/>
      <c r="L60" s="60"/>
    </row>
    <row r="61" spans="1:12" ht="56.25" hidden="1" x14ac:dyDescent="0.2">
      <c r="A61" s="58">
        <v>19</v>
      </c>
      <c r="B61" s="59" t="s">
        <v>73</v>
      </c>
      <c r="C61" s="60"/>
      <c r="D61" s="60"/>
      <c r="E61" s="60"/>
      <c r="F61" s="60"/>
      <c r="G61" s="60"/>
      <c r="H61" s="60"/>
      <c r="I61" s="60"/>
      <c r="J61" s="60"/>
      <c r="K61" s="60"/>
      <c r="L61" s="60"/>
    </row>
    <row r="62" spans="1:12" hidden="1" x14ac:dyDescent="0.2">
      <c r="A62" s="58">
        <v>20</v>
      </c>
      <c r="B62" s="59" t="s">
        <v>74</v>
      </c>
      <c r="C62" s="60"/>
      <c r="D62" s="60"/>
      <c r="E62" s="60"/>
      <c r="F62" s="60"/>
      <c r="G62" s="60"/>
      <c r="H62" s="60"/>
      <c r="I62" s="60"/>
      <c r="J62" s="60"/>
      <c r="K62" s="60"/>
      <c r="L62" s="60"/>
    </row>
    <row r="63" spans="1:12" s="53" customFormat="1" hidden="1" x14ac:dyDescent="0.2">
      <c r="A63" s="54" t="s">
        <v>75</v>
      </c>
      <c r="B63" s="55" t="s">
        <v>6</v>
      </c>
      <c r="C63" s="56"/>
      <c r="D63" s="56"/>
      <c r="E63" s="56"/>
      <c r="F63" s="56"/>
      <c r="G63" s="56"/>
      <c r="H63" s="56"/>
      <c r="I63" s="56"/>
      <c r="J63" s="56"/>
      <c r="K63" s="60"/>
      <c r="L63" s="60"/>
    </row>
    <row r="64" spans="1:12" hidden="1" x14ac:dyDescent="0.2">
      <c r="A64" s="54" t="s">
        <v>76</v>
      </c>
      <c r="B64" s="55" t="s">
        <v>77</v>
      </c>
      <c r="C64" s="60"/>
      <c r="D64" s="60"/>
      <c r="E64" s="60"/>
      <c r="F64" s="60"/>
      <c r="G64" s="60"/>
      <c r="H64" s="60"/>
      <c r="I64" s="60"/>
      <c r="J64" s="60"/>
      <c r="K64" s="60"/>
      <c r="L64" s="60"/>
    </row>
    <row r="65" spans="1:12" hidden="1" x14ac:dyDescent="0.2">
      <c r="A65" s="58">
        <v>1</v>
      </c>
      <c r="B65" s="59" t="s">
        <v>78</v>
      </c>
      <c r="C65" s="60"/>
      <c r="D65" s="60"/>
      <c r="E65" s="60"/>
      <c r="F65" s="60"/>
      <c r="G65" s="60"/>
      <c r="H65" s="60"/>
      <c r="I65" s="60"/>
      <c r="J65" s="60"/>
      <c r="K65" s="60"/>
      <c r="L65" s="60"/>
    </row>
    <row r="66" spans="1:12" hidden="1" x14ac:dyDescent="0.2">
      <c r="A66" s="58">
        <v>2</v>
      </c>
      <c r="B66" s="59" t="s">
        <v>79</v>
      </c>
      <c r="C66" s="60"/>
      <c r="D66" s="60"/>
      <c r="E66" s="60"/>
      <c r="F66" s="60"/>
      <c r="G66" s="60"/>
      <c r="H66" s="60"/>
      <c r="I66" s="60"/>
      <c r="J66" s="60"/>
      <c r="K66" s="60"/>
      <c r="L66" s="60"/>
    </row>
    <row r="67" spans="1:12" hidden="1" x14ac:dyDescent="0.2">
      <c r="A67" s="58">
        <v>3</v>
      </c>
      <c r="B67" s="59" t="s">
        <v>80</v>
      </c>
      <c r="C67" s="60"/>
      <c r="D67" s="60"/>
      <c r="E67" s="60"/>
      <c r="F67" s="60"/>
      <c r="G67" s="60"/>
      <c r="H67" s="60"/>
      <c r="I67" s="60"/>
      <c r="J67" s="60"/>
      <c r="K67" s="60"/>
      <c r="L67" s="60"/>
    </row>
    <row r="68" spans="1:12" hidden="1" x14ac:dyDescent="0.2">
      <c r="A68" s="58">
        <v>4</v>
      </c>
      <c r="B68" s="59" t="s">
        <v>81</v>
      </c>
      <c r="C68" s="60"/>
      <c r="D68" s="60"/>
      <c r="E68" s="60"/>
      <c r="F68" s="60"/>
      <c r="G68" s="60"/>
      <c r="H68" s="60"/>
      <c r="I68" s="60"/>
      <c r="J68" s="60"/>
      <c r="K68" s="60"/>
      <c r="L68" s="60"/>
    </row>
    <row r="69" spans="1:12" hidden="1" x14ac:dyDescent="0.2">
      <c r="A69" s="58">
        <v>5</v>
      </c>
      <c r="B69" s="59" t="s">
        <v>82</v>
      </c>
      <c r="C69" s="60"/>
      <c r="D69" s="60"/>
      <c r="E69" s="60"/>
      <c r="F69" s="60"/>
      <c r="G69" s="60"/>
      <c r="H69" s="60"/>
      <c r="I69" s="60"/>
      <c r="J69" s="60"/>
      <c r="K69" s="60"/>
      <c r="L69" s="60"/>
    </row>
    <row r="70" spans="1:12" ht="15" hidden="1" customHeight="1" x14ac:dyDescent="0.2">
      <c r="A70" s="58">
        <v>6</v>
      </c>
      <c r="B70" s="59" t="s">
        <v>83</v>
      </c>
      <c r="C70" s="60"/>
      <c r="D70" s="60"/>
      <c r="E70" s="60"/>
      <c r="F70" s="60"/>
      <c r="G70" s="60"/>
      <c r="H70" s="60"/>
      <c r="I70" s="60"/>
      <c r="J70" s="60"/>
      <c r="K70" s="60"/>
      <c r="L70" s="60"/>
    </row>
    <row r="71" spans="1:12" ht="15" hidden="1" customHeight="1" x14ac:dyDescent="0.2">
      <c r="A71" s="65" t="s">
        <v>84</v>
      </c>
      <c r="B71" s="66" t="s">
        <v>85</v>
      </c>
      <c r="C71" s="67"/>
      <c r="D71" s="67"/>
      <c r="E71" s="67"/>
      <c r="F71" s="67"/>
      <c r="G71" s="67"/>
      <c r="H71" s="67"/>
      <c r="I71" s="67"/>
      <c r="J71" s="67"/>
      <c r="K71" s="67"/>
      <c r="L71" s="67"/>
    </row>
    <row r="72" spans="1:12" ht="15" customHeight="1" x14ac:dyDescent="0.2">
      <c r="A72" s="68" t="s">
        <v>86</v>
      </c>
    </row>
    <row r="73" spans="1:12" x14ac:dyDescent="0.2">
      <c r="A73" s="186" t="s">
        <v>223</v>
      </c>
      <c r="B73" s="186"/>
      <c r="C73" s="186"/>
      <c r="D73" s="186"/>
      <c r="E73" s="186"/>
      <c r="F73" s="186"/>
      <c r="G73" s="186"/>
      <c r="H73" s="186"/>
      <c r="I73" s="186"/>
      <c r="J73" s="186"/>
      <c r="K73" s="186"/>
      <c r="L73" s="186"/>
    </row>
    <row r="74" spans="1:12" x14ac:dyDescent="0.2">
      <c r="A74" s="186" t="s">
        <v>224</v>
      </c>
      <c r="B74" s="186"/>
      <c r="C74" s="186"/>
      <c r="D74" s="186"/>
      <c r="E74" s="186"/>
      <c r="F74" s="186"/>
      <c r="G74" s="186"/>
      <c r="H74" s="186"/>
      <c r="I74" s="186"/>
      <c r="J74" s="186"/>
      <c r="K74" s="186"/>
      <c r="L74" s="186"/>
    </row>
    <row r="75" spans="1:12" x14ac:dyDescent="0.2">
      <c r="A75" s="186" t="s">
        <v>225</v>
      </c>
      <c r="B75" s="186"/>
      <c r="C75" s="186"/>
      <c r="D75" s="186"/>
      <c r="E75" s="186"/>
      <c r="F75" s="186"/>
      <c r="G75" s="186"/>
      <c r="H75" s="186"/>
      <c r="I75" s="186"/>
      <c r="J75" s="186"/>
      <c r="K75" s="186"/>
      <c r="L75" s="186"/>
    </row>
    <row r="76" spans="1:12" x14ac:dyDescent="0.2">
      <c r="A76" s="186" t="s">
        <v>87</v>
      </c>
      <c r="B76" s="186"/>
      <c r="C76" s="186"/>
      <c r="D76" s="186"/>
      <c r="E76" s="186"/>
      <c r="F76" s="186"/>
      <c r="G76" s="186"/>
      <c r="H76" s="186"/>
      <c r="I76" s="186"/>
      <c r="J76" s="186"/>
      <c r="K76" s="186"/>
      <c r="L76" s="186"/>
    </row>
    <row r="77" spans="1:12" x14ac:dyDescent="0.2">
      <c r="A77" s="186" t="s">
        <v>88</v>
      </c>
      <c r="B77" s="186"/>
      <c r="C77" s="186"/>
      <c r="D77" s="186"/>
      <c r="E77" s="186"/>
      <c r="F77" s="186"/>
      <c r="G77" s="186"/>
      <c r="H77" s="186"/>
      <c r="I77" s="186"/>
      <c r="J77" s="186"/>
      <c r="K77" s="186"/>
      <c r="L77" s="186"/>
    </row>
  </sheetData>
  <mergeCells count="17">
    <mergeCell ref="A77:L77"/>
    <mergeCell ref="K6:L6"/>
    <mergeCell ref="A73:L73"/>
    <mergeCell ref="A74:L74"/>
    <mergeCell ref="A75:L75"/>
    <mergeCell ref="I6:J6"/>
    <mergeCell ref="G5:H6"/>
    <mergeCell ref="E5:F6"/>
    <mergeCell ref="C5:D6"/>
    <mergeCell ref="B5:B7"/>
    <mergeCell ref="K1:L1"/>
    <mergeCell ref="A2:L2"/>
    <mergeCell ref="A3:L3"/>
    <mergeCell ref="K4:L4"/>
    <mergeCell ref="A76:L76"/>
    <mergeCell ref="I5:L5"/>
    <mergeCell ref="A5:A7"/>
  </mergeCells>
  <phoneticPr fontId="3" type="noConversion"/>
  <printOptions horizontalCentered="1"/>
  <pageMargins left="0.23622047244094491" right="0.15748031496062992" top="0.28999999999999998" bottom="0.19685039370078741" header="0.2" footer="0.51181102362204722"/>
  <pageSetup paperSize="9" scale="70" orientation="landscape" verticalDpi="0" r:id="rId1"/>
  <headerFooter alignWithMargins="0">
    <oddFooter>Page &amp;P</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workbookViewId="0">
      <selection activeCell="B27" sqref="B27:B28"/>
    </sheetView>
  </sheetViews>
  <sheetFormatPr defaultRowHeight="18.75" x14ac:dyDescent="0.3"/>
  <cols>
    <col min="1" max="1" width="5.5703125" style="14" customWidth="1"/>
    <col min="2" max="2" width="49.42578125" style="14" customWidth="1"/>
    <col min="3" max="3" width="14.7109375" style="14" customWidth="1"/>
    <col min="4" max="4" width="14.7109375" style="70" customWidth="1"/>
    <col min="5" max="5" width="14.7109375" style="14" customWidth="1"/>
    <col min="6" max="7" width="14.5703125" style="14" customWidth="1"/>
    <col min="8" max="8" width="14" style="14" customWidth="1"/>
    <col min="9" max="9" width="14.28515625" style="14" customWidth="1"/>
    <col min="10" max="16384" width="9.140625" style="14"/>
  </cols>
  <sheetData>
    <row r="1" spans="1:9" x14ac:dyDescent="0.3">
      <c r="E1" s="39"/>
      <c r="F1" s="39"/>
      <c r="G1" s="39"/>
      <c r="H1" s="176" t="s">
        <v>196</v>
      </c>
      <c r="I1" s="176"/>
    </row>
    <row r="2" spans="1:9" ht="18.75" customHeight="1" x14ac:dyDescent="0.3">
      <c r="A2" s="176" t="s">
        <v>258</v>
      </c>
      <c r="B2" s="176"/>
      <c r="C2" s="176"/>
      <c r="D2" s="176"/>
      <c r="E2" s="176"/>
      <c r="F2" s="176"/>
      <c r="G2" s="176"/>
      <c r="H2" s="176"/>
      <c r="I2" s="176"/>
    </row>
    <row r="3" spans="1:9" x14ac:dyDescent="0.3">
      <c r="A3" s="181" t="str">
        <f>'bieu 12 (PL05)'!A3:I3</f>
        <v>(Kèm theo Tờ trình số:           /TTr-UBND ngày      /11/2024 của UBND huyện Phụng Hiệp)</v>
      </c>
      <c r="B3" s="181"/>
      <c r="C3" s="181"/>
      <c r="D3" s="181"/>
      <c r="E3" s="181"/>
      <c r="F3" s="181"/>
      <c r="G3" s="181"/>
      <c r="H3" s="181"/>
      <c r="I3" s="181"/>
    </row>
    <row r="4" spans="1:9" ht="18.75" customHeight="1" x14ac:dyDescent="0.3">
      <c r="D4" s="71"/>
      <c r="E4" s="72"/>
      <c r="F4" s="72"/>
      <c r="G4" s="72"/>
      <c r="H4" s="181" t="s">
        <v>25</v>
      </c>
      <c r="I4" s="181"/>
    </row>
    <row r="5" spans="1:9" s="15" customFormat="1" ht="63.6" customHeight="1" x14ac:dyDescent="0.3">
      <c r="A5" s="178" t="s">
        <v>3</v>
      </c>
      <c r="B5" s="178" t="s">
        <v>21</v>
      </c>
      <c r="C5" s="190" t="s">
        <v>274</v>
      </c>
      <c r="D5" s="190" t="s">
        <v>288</v>
      </c>
      <c r="E5" s="190" t="s">
        <v>282</v>
      </c>
      <c r="F5" s="188" t="s">
        <v>289</v>
      </c>
      <c r="G5" s="189"/>
      <c r="H5" s="188" t="s">
        <v>290</v>
      </c>
      <c r="I5" s="189"/>
    </row>
    <row r="6" spans="1:9" s="32" customFormat="1" ht="56.25" x14ac:dyDescent="0.3">
      <c r="A6" s="178"/>
      <c r="B6" s="178"/>
      <c r="C6" s="191"/>
      <c r="D6" s="191"/>
      <c r="E6" s="191"/>
      <c r="F6" s="1" t="s">
        <v>20</v>
      </c>
      <c r="G6" s="2" t="s">
        <v>24</v>
      </c>
      <c r="H6" s="1" t="s">
        <v>20</v>
      </c>
      <c r="I6" s="2" t="s">
        <v>24</v>
      </c>
    </row>
    <row r="7" spans="1:9" s="83" customFormat="1" ht="19.5" x14ac:dyDescent="0.35">
      <c r="A7" s="73" t="s">
        <v>0</v>
      </c>
      <c r="B7" s="73" t="s">
        <v>1</v>
      </c>
      <c r="C7" s="74" t="s">
        <v>22</v>
      </c>
      <c r="D7" s="74" t="s">
        <v>23</v>
      </c>
      <c r="E7" s="74" t="s">
        <v>118</v>
      </c>
      <c r="F7" s="74" t="s">
        <v>11</v>
      </c>
      <c r="G7" s="74" t="s">
        <v>18</v>
      </c>
      <c r="H7" s="74" t="s">
        <v>19</v>
      </c>
      <c r="I7" s="74" t="s">
        <v>98</v>
      </c>
    </row>
    <row r="8" spans="1:9" x14ac:dyDescent="0.3">
      <c r="A8" s="33"/>
      <c r="B8" s="77" t="s">
        <v>89</v>
      </c>
      <c r="C8" s="133">
        <f>C9+C10+C33-1</f>
        <v>764162</v>
      </c>
      <c r="D8" s="98">
        <f>D9+D10+D33</f>
        <v>952235.62</v>
      </c>
      <c r="E8" s="133">
        <f>E9+E10+E33</f>
        <v>1001697.6539950001</v>
      </c>
      <c r="F8" s="133">
        <f>F9+F10+F33</f>
        <v>188074.12</v>
      </c>
      <c r="G8" s="134">
        <f>D8/C8*100</f>
        <v>124.61174724731143</v>
      </c>
      <c r="H8" s="34">
        <f>H9+H10+H33-1</f>
        <v>49460.733994999988</v>
      </c>
      <c r="I8" s="99">
        <f>E8/D8*100</f>
        <v>105.19430621540917</v>
      </c>
    </row>
    <row r="9" spans="1:9" s="15" customFormat="1" ht="24.75" customHeight="1" x14ac:dyDescent="0.3">
      <c r="A9" s="77" t="s">
        <v>30</v>
      </c>
      <c r="B9" s="28" t="s">
        <v>90</v>
      </c>
      <c r="C9" s="128">
        <v>65204</v>
      </c>
      <c r="D9" s="100">
        <f>'bieu 12 (PL05)'!D27</f>
        <v>92454.62</v>
      </c>
      <c r="E9" s="100">
        <f>'bieu 12 (PL05)'!E27</f>
        <v>126020.43799999999</v>
      </c>
      <c r="F9" s="100">
        <f>D9-C9</f>
        <v>27250.619999999995</v>
      </c>
      <c r="G9" s="134">
        <f t="shared" ref="G9:G33" si="0">D9/C9*100</f>
        <v>141.79286546837616</v>
      </c>
      <c r="H9" s="101">
        <f>E9-D9</f>
        <v>33565.817999999999</v>
      </c>
      <c r="I9" s="99">
        <f t="shared" ref="I9:I33" si="1">E9/D9*100</f>
        <v>136.30518193682479</v>
      </c>
    </row>
    <row r="10" spans="1:9" s="69" customFormat="1" ht="23.25" customHeight="1" x14ac:dyDescent="0.35">
      <c r="A10" s="77" t="s">
        <v>75</v>
      </c>
      <c r="B10" s="28" t="s">
        <v>91</v>
      </c>
      <c r="C10" s="133">
        <f>SUM(C11:C32)</f>
        <v>687179</v>
      </c>
      <c r="D10" s="100">
        <f>SUM(D11:D32)</f>
        <v>853988</v>
      </c>
      <c r="E10" s="100">
        <f>SUM(E11:E32)</f>
        <v>874998.27599500015</v>
      </c>
      <c r="F10" s="100">
        <f>SUM(F11:F32)+1.5</f>
        <v>166810.5</v>
      </c>
      <c r="G10" s="134">
        <f t="shared" si="0"/>
        <v>124.27446123935685</v>
      </c>
      <c r="H10" s="100">
        <f>SUM(H11:H32)</f>
        <v>21009.97599499999</v>
      </c>
      <c r="I10" s="99">
        <f t="shared" si="1"/>
        <v>102.46025424186288</v>
      </c>
    </row>
    <row r="11" spans="1:9" ht="20.100000000000001" customHeight="1" x14ac:dyDescent="0.3">
      <c r="A11" s="30" t="s">
        <v>22</v>
      </c>
      <c r="B11" s="25" t="s">
        <v>92</v>
      </c>
      <c r="C11" s="46">
        <v>5250</v>
      </c>
      <c r="D11" s="36">
        <v>14084.5</v>
      </c>
      <c r="E11" s="47">
        <f>'bieu 17(09)'!E78</f>
        <v>20895.560000000001</v>
      </c>
      <c r="F11" s="105">
        <f t="shared" ref="F11:F33" si="2">D11-C11</f>
        <v>8834.5</v>
      </c>
      <c r="G11" s="136">
        <f t="shared" si="0"/>
        <v>268.27619047619049</v>
      </c>
      <c r="H11" s="47">
        <f t="shared" ref="H11:H31" si="3">E11-D11</f>
        <v>6811.0600000000013</v>
      </c>
      <c r="I11" s="102">
        <f t="shared" si="1"/>
        <v>148.35855017927511</v>
      </c>
    </row>
    <row r="12" spans="1:9" ht="22.5" customHeight="1" x14ac:dyDescent="0.3">
      <c r="A12" s="30" t="s">
        <v>23</v>
      </c>
      <c r="B12" s="25" t="s">
        <v>93</v>
      </c>
      <c r="C12" s="46">
        <v>322</v>
      </c>
      <c r="D12" s="103">
        <v>847</v>
      </c>
      <c r="E12" s="47">
        <f>'bieu 17(09)'!E77</f>
        <v>1294.7750000000001</v>
      </c>
      <c r="F12" s="105">
        <f t="shared" si="2"/>
        <v>525</v>
      </c>
      <c r="G12" s="136">
        <f t="shared" si="0"/>
        <v>263.04347826086956</v>
      </c>
      <c r="H12" s="47">
        <f t="shared" si="3"/>
        <v>447.77500000000009</v>
      </c>
      <c r="I12" s="102">
        <f t="shared" si="1"/>
        <v>152.86599763872493</v>
      </c>
    </row>
    <row r="13" spans="1:9" s="16" customFormat="1" ht="20.100000000000001" customHeight="1" x14ac:dyDescent="0.3">
      <c r="A13" s="30" t="s">
        <v>118</v>
      </c>
      <c r="B13" s="25" t="s">
        <v>94</v>
      </c>
      <c r="C13" s="46">
        <f>327207</f>
        <v>327207</v>
      </c>
      <c r="D13" s="29">
        <v>353511.5</v>
      </c>
      <c r="E13" s="29">
        <f>'bieu 17(09)'!E25+0.3</f>
        <v>390464.092</v>
      </c>
      <c r="F13" s="105">
        <f t="shared" si="2"/>
        <v>26304.5</v>
      </c>
      <c r="G13" s="136">
        <f t="shared" si="0"/>
        <v>108.03910063048774</v>
      </c>
      <c r="H13" s="47">
        <f t="shared" si="3"/>
        <v>36952.592000000004</v>
      </c>
      <c r="I13" s="102">
        <f t="shared" si="1"/>
        <v>110.45300987379476</v>
      </c>
    </row>
    <row r="14" spans="1:9" s="16" customFormat="1" ht="20.100000000000001" customHeight="1" x14ac:dyDescent="0.3">
      <c r="A14" s="30" t="s">
        <v>11</v>
      </c>
      <c r="B14" s="25" t="s">
        <v>95</v>
      </c>
      <c r="C14" s="46">
        <v>7430</v>
      </c>
      <c r="D14" s="29">
        <v>12635</v>
      </c>
      <c r="E14" s="29">
        <f>'bieu 17(09)'!E26</f>
        <v>10180.613499999998</v>
      </c>
      <c r="F14" s="105">
        <f t="shared" si="2"/>
        <v>5205</v>
      </c>
      <c r="G14" s="136">
        <f t="shared" si="0"/>
        <v>170.05383580080752</v>
      </c>
      <c r="H14" s="47">
        <f>E14-D14-0.3</f>
        <v>-2454.6865000000025</v>
      </c>
      <c r="I14" s="102">
        <f t="shared" si="1"/>
        <v>80.57470122675106</v>
      </c>
    </row>
    <row r="15" spans="1:9" s="16" customFormat="1" ht="20.100000000000001" customHeight="1" x14ac:dyDescent="0.3">
      <c r="A15" s="30" t="s">
        <v>18</v>
      </c>
      <c r="B15" s="25" t="s">
        <v>96</v>
      </c>
      <c r="C15" s="46">
        <v>560</v>
      </c>
      <c r="D15" s="36">
        <f>'bieu 17(09)'!D23</f>
        <v>560</v>
      </c>
      <c r="E15" s="47">
        <f>'bieu 17(09)'!E23</f>
        <v>560</v>
      </c>
      <c r="F15" s="105">
        <f t="shared" si="2"/>
        <v>0</v>
      </c>
      <c r="G15" s="136">
        <f t="shared" si="0"/>
        <v>100</v>
      </c>
      <c r="H15" s="47">
        <f t="shared" si="3"/>
        <v>0</v>
      </c>
      <c r="I15" s="102">
        <f t="shared" si="1"/>
        <v>100</v>
      </c>
    </row>
    <row r="16" spans="1:9" s="16" customFormat="1" ht="20.100000000000001" customHeight="1" x14ac:dyDescent="0.3">
      <c r="A16" s="30" t="s">
        <v>19</v>
      </c>
      <c r="B16" s="25" t="s">
        <v>97</v>
      </c>
      <c r="C16" s="46">
        <v>8828</v>
      </c>
      <c r="D16" s="36">
        <v>12419.5</v>
      </c>
      <c r="E16" s="47">
        <f>'bieu 17(09)'!E24</f>
        <v>12419.562</v>
      </c>
      <c r="F16" s="105">
        <f t="shared" si="2"/>
        <v>3591.5</v>
      </c>
      <c r="G16" s="136">
        <f t="shared" si="0"/>
        <v>140.68305391934751</v>
      </c>
      <c r="H16" s="47">
        <f t="shared" si="3"/>
        <v>6.1999999999898137E-2</v>
      </c>
      <c r="I16" s="102">
        <f t="shared" si="1"/>
        <v>100.00049921494426</v>
      </c>
    </row>
    <row r="17" spans="1:9" s="16" customFormat="1" ht="20.100000000000001" customHeight="1" x14ac:dyDescent="0.3">
      <c r="A17" s="30" t="s">
        <v>98</v>
      </c>
      <c r="B17" s="25" t="s">
        <v>99</v>
      </c>
      <c r="C17" s="46">
        <v>2016</v>
      </c>
      <c r="D17" s="36">
        <v>3210</v>
      </c>
      <c r="E17" s="47">
        <f>'bieu 17(09)'!E16+'bieu 17(09)'!E17+'bieu 17(09)'!E19</f>
        <v>3927.9839999999995</v>
      </c>
      <c r="F17" s="105">
        <f t="shared" si="2"/>
        <v>1194</v>
      </c>
      <c r="G17" s="136">
        <f t="shared" si="0"/>
        <v>159.22619047619045</v>
      </c>
      <c r="H17" s="47">
        <f t="shared" si="3"/>
        <v>717.98399999999947</v>
      </c>
      <c r="I17" s="102">
        <f t="shared" si="1"/>
        <v>122.36710280373831</v>
      </c>
    </row>
    <row r="18" spans="1:9" s="16" customFormat="1" ht="20.100000000000001" customHeight="1" x14ac:dyDescent="0.3">
      <c r="A18" s="30" t="s">
        <v>100</v>
      </c>
      <c r="B18" s="25" t="s">
        <v>101</v>
      </c>
      <c r="C18" s="46">
        <v>1242</v>
      </c>
      <c r="D18" s="36">
        <v>1728</v>
      </c>
      <c r="E18" s="47">
        <f>'bieu 17(09)'!E18</f>
        <v>1816.3620000000001</v>
      </c>
      <c r="F18" s="105">
        <f t="shared" si="2"/>
        <v>486</v>
      </c>
      <c r="G18" s="136">
        <f t="shared" si="0"/>
        <v>139.13043478260869</v>
      </c>
      <c r="H18" s="47">
        <f t="shared" si="3"/>
        <v>88.36200000000008</v>
      </c>
      <c r="I18" s="102">
        <f t="shared" si="1"/>
        <v>105.11354166666666</v>
      </c>
    </row>
    <row r="19" spans="1:9" s="16" customFormat="1" x14ac:dyDescent="0.3">
      <c r="A19" s="30" t="s">
        <v>102</v>
      </c>
      <c r="B19" s="25" t="s">
        <v>244</v>
      </c>
      <c r="C19" s="46">
        <v>0</v>
      </c>
      <c r="D19" s="36">
        <v>3</v>
      </c>
      <c r="E19" s="47">
        <f>'bieu 17(09)'!E20</f>
        <v>0</v>
      </c>
      <c r="F19" s="105">
        <f t="shared" si="2"/>
        <v>3</v>
      </c>
      <c r="G19" s="136"/>
      <c r="H19" s="47">
        <f t="shared" si="3"/>
        <v>-3</v>
      </c>
      <c r="I19" s="102">
        <f t="shared" si="1"/>
        <v>0</v>
      </c>
    </row>
    <row r="20" spans="1:9" s="16" customFormat="1" x14ac:dyDescent="0.3">
      <c r="A20" s="30" t="s">
        <v>104</v>
      </c>
      <c r="B20" s="25" t="s">
        <v>264</v>
      </c>
      <c r="C20" s="46">
        <v>0</v>
      </c>
      <c r="D20" s="36">
        <v>3750</v>
      </c>
      <c r="E20" s="47">
        <f>'bieu 17(09)'!E21</f>
        <v>4332.8100000000004</v>
      </c>
      <c r="F20" s="105">
        <f t="shared" si="2"/>
        <v>3750</v>
      </c>
      <c r="G20" s="136"/>
      <c r="H20" s="47">
        <f t="shared" si="3"/>
        <v>582.8100000000004</v>
      </c>
      <c r="I20" s="102">
        <f t="shared" si="1"/>
        <v>115.5416</v>
      </c>
    </row>
    <row r="21" spans="1:9" s="16" customFormat="1" ht="20.100000000000001" customHeight="1" x14ac:dyDescent="0.3">
      <c r="A21" s="30" t="s">
        <v>105</v>
      </c>
      <c r="B21" s="25" t="s">
        <v>103</v>
      </c>
      <c r="C21" s="46">
        <v>61091</v>
      </c>
      <c r="D21" s="36">
        <v>54578.5</v>
      </c>
      <c r="E21" s="36">
        <f>'bieu 17(09)'!E9+0.3</f>
        <v>65250.525000000001</v>
      </c>
      <c r="F21" s="137">
        <f t="shared" si="2"/>
        <v>-6512.5</v>
      </c>
      <c r="G21" s="136">
        <f t="shared" si="0"/>
        <v>89.339673601676182</v>
      </c>
      <c r="H21" s="47">
        <f t="shared" si="3"/>
        <v>10672.025000000001</v>
      </c>
      <c r="I21" s="102">
        <f t="shared" si="1"/>
        <v>119.55353298460017</v>
      </c>
    </row>
    <row r="22" spans="1:9" s="16" customFormat="1" ht="37.5" x14ac:dyDescent="0.3">
      <c r="A22" s="30" t="s">
        <v>107</v>
      </c>
      <c r="B22" s="35" t="s">
        <v>297</v>
      </c>
      <c r="C22" s="135">
        <v>35813</v>
      </c>
      <c r="D22" s="103">
        <v>46977</v>
      </c>
      <c r="E22" s="103">
        <f>'bieu 17(09)'!E47-E29+0.2</f>
        <v>55094.891999999993</v>
      </c>
      <c r="F22" s="105">
        <f t="shared" si="2"/>
        <v>11164</v>
      </c>
      <c r="G22" s="136">
        <f t="shared" si="0"/>
        <v>131.17303772373162</v>
      </c>
      <c r="H22" s="47">
        <f t="shared" si="3"/>
        <v>8117.8919999999925</v>
      </c>
      <c r="I22" s="27">
        <f t="shared" si="1"/>
        <v>117.2805670860208</v>
      </c>
    </row>
    <row r="23" spans="1:9" s="16" customFormat="1" ht="20.100000000000001" customHeight="1" x14ac:dyDescent="0.3">
      <c r="A23" s="30" t="s">
        <v>108</v>
      </c>
      <c r="B23" s="25" t="s">
        <v>106</v>
      </c>
      <c r="C23" s="46">
        <v>102722</v>
      </c>
      <c r="D23" s="36">
        <v>102203</v>
      </c>
      <c r="E23" s="47">
        <f>'bieu 17(09)'!E22+0.3</f>
        <v>119014.236</v>
      </c>
      <c r="F23" s="137">
        <f t="shared" si="2"/>
        <v>-519</v>
      </c>
      <c r="G23" s="136">
        <f t="shared" si="0"/>
        <v>99.494752828021262</v>
      </c>
      <c r="H23" s="47">
        <f>E23-D23</f>
        <v>16811.236000000004</v>
      </c>
      <c r="I23" s="102">
        <f t="shared" si="1"/>
        <v>116.44886745007486</v>
      </c>
    </row>
    <row r="24" spans="1:9" s="16" customFormat="1" ht="20.100000000000001" customHeight="1" x14ac:dyDescent="0.3">
      <c r="A24" s="30" t="s">
        <v>110</v>
      </c>
      <c r="B24" s="25" t="s">
        <v>15</v>
      </c>
      <c r="C24" s="46">
        <v>3800</v>
      </c>
      <c r="D24" s="36">
        <f>'bieu 17(09)'!D80</f>
        <v>3800</v>
      </c>
      <c r="E24" s="36">
        <f>'bieu 17(09)'!E80</f>
        <v>3893.9540000000002</v>
      </c>
      <c r="F24" s="105">
        <f t="shared" si="2"/>
        <v>0</v>
      </c>
      <c r="G24" s="136">
        <f t="shared" si="0"/>
        <v>100</v>
      </c>
      <c r="H24" s="47">
        <f t="shared" si="3"/>
        <v>93.954000000000178</v>
      </c>
      <c r="I24" s="102">
        <f t="shared" si="1"/>
        <v>102.47247368421053</v>
      </c>
    </row>
    <row r="25" spans="1:9" s="16" customFormat="1" ht="20.100000000000001" customHeight="1" x14ac:dyDescent="0.3">
      <c r="A25" s="30" t="s">
        <v>111</v>
      </c>
      <c r="B25" s="25" t="s">
        <v>109</v>
      </c>
      <c r="C25" s="46">
        <v>3621</v>
      </c>
      <c r="D25" s="47">
        <f>602+3019</f>
        <v>3621</v>
      </c>
      <c r="E25" s="47">
        <v>0</v>
      </c>
      <c r="F25" s="105">
        <f t="shared" si="2"/>
        <v>0</v>
      </c>
      <c r="G25" s="136">
        <f t="shared" si="0"/>
        <v>100</v>
      </c>
      <c r="H25" s="47">
        <f t="shared" si="3"/>
        <v>-3621</v>
      </c>
      <c r="I25" s="102">
        <f t="shared" si="1"/>
        <v>0</v>
      </c>
    </row>
    <row r="26" spans="1:9" s="16" customFormat="1" ht="19.5" customHeight="1" x14ac:dyDescent="0.3">
      <c r="A26" s="30" t="s">
        <v>113</v>
      </c>
      <c r="B26" s="25" t="s">
        <v>203</v>
      </c>
      <c r="C26" s="46">
        <v>0</v>
      </c>
      <c r="D26" s="29">
        <v>33681</v>
      </c>
      <c r="E26" s="105">
        <v>1162.1569999999999</v>
      </c>
      <c r="F26" s="105">
        <f t="shared" si="2"/>
        <v>33681</v>
      </c>
      <c r="G26" s="136"/>
      <c r="H26" s="47">
        <f t="shared" si="3"/>
        <v>-32518.843000000001</v>
      </c>
      <c r="I26" s="102"/>
    </row>
    <row r="27" spans="1:9" s="16" customFormat="1" ht="19.5" customHeight="1" x14ac:dyDescent="0.3">
      <c r="A27" s="30" t="s">
        <v>227</v>
      </c>
      <c r="B27" s="25" t="s">
        <v>235</v>
      </c>
      <c r="C27" s="46">
        <v>0</v>
      </c>
      <c r="D27" s="29">
        <v>40244</v>
      </c>
      <c r="E27" s="105">
        <v>15050.437</v>
      </c>
      <c r="F27" s="105">
        <f t="shared" si="2"/>
        <v>40244</v>
      </c>
      <c r="G27" s="136"/>
      <c r="H27" s="47">
        <f t="shared" si="3"/>
        <v>-25193.563000000002</v>
      </c>
      <c r="I27" s="102"/>
    </row>
    <row r="28" spans="1:9" s="16" customFormat="1" ht="20.25" customHeight="1" x14ac:dyDescent="0.3">
      <c r="A28" s="30" t="s">
        <v>228</v>
      </c>
      <c r="B28" s="25" t="s">
        <v>112</v>
      </c>
      <c r="C28" s="46">
        <v>18900</v>
      </c>
      <c r="D28" s="26">
        <v>7736</v>
      </c>
      <c r="E28" s="29">
        <f>'bieu 17(09)'!E79</f>
        <v>1605.194</v>
      </c>
      <c r="F28" s="137">
        <f t="shared" si="2"/>
        <v>-11164</v>
      </c>
      <c r="G28" s="136">
        <f t="shared" si="0"/>
        <v>40.93121693121693</v>
      </c>
      <c r="H28" s="47">
        <f t="shared" si="3"/>
        <v>-6130.8060000000005</v>
      </c>
      <c r="I28" s="102">
        <f t="shared" si="1"/>
        <v>20.749663908996897</v>
      </c>
    </row>
    <row r="29" spans="1:9" s="16" customFormat="1" x14ac:dyDescent="0.3">
      <c r="A29" s="30" t="s">
        <v>229</v>
      </c>
      <c r="B29" s="25" t="s">
        <v>280</v>
      </c>
      <c r="C29" s="46">
        <v>1106</v>
      </c>
      <c r="D29" s="47">
        <v>1618</v>
      </c>
      <c r="E29" s="29">
        <f>'bieu 17(09)'!E75</f>
        <v>1811.9369999999999</v>
      </c>
      <c r="F29" s="105">
        <f t="shared" si="2"/>
        <v>512</v>
      </c>
      <c r="G29" s="136">
        <f t="shared" si="0"/>
        <v>146.29294755877032</v>
      </c>
      <c r="H29" s="47">
        <f t="shared" si="3"/>
        <v>193.9369999999999</v>
      </c>
      <c r="I29" s="102">
        <f t="shared" si="1"/>
        <v>111.986217552534</v>
      </c>
    </row>
    <row r="30" spans="1:9" s="16" customFormat="1" ht="20.100000000000001" customHeight="1" x14ac:dyDescent="0.3">
      <c r="A30" s="30" t="s">
        <v>233</v>
      </c>
      <c r="B30" s="25" t="s">
        <v>114</v>
      </c>
      <c r="C30" s="46">
        <v>107271</v>
      </c>
      <c r="D30" s="36">
        <v>151951</v>
      </c>
      <c r="E30" s="47">
        <f>'bieu xa (PL11)'!R8</f>
        <v>164389.35849499999</v>
      </c>
      <c r="F30" s="105">
        <f t="shared" si="2"/>
        <v>44680</v>
      </c>
      <c r="G30" s="136">
        <f t="shared" si="0"/>
        <v>141.65151811766461</v>
      </c>
      <c r="H30" s="47">
        <f t="shared" si="3"/>
        <v>12438.358494999993</v>
      </c>
      <c r="I30" s="102">
        <f t="shared" si="1"/>
        <v>108.18576942237958</v>
      </c>
    </row>
    <row r="31" spans="1:9" s="16" customFormat="1" ht="20.100000000000001" customHeight="1" x14ac:dyDescent="0.3">
      <c r="A31" s="30" t="s">
        <v>234</v>
      </c>
      <c r="B31" s="25" t="s">
        <v>295</v>
      </c>
      <c r="C31" s="46">
        <v>0</v>
      </c>
      <c r="D31" s="36">
        <v>4145</v>
      </c>
      <c r="E31" s="47">
        <f>1201.073</f>
        <v>1201.0730000000001</v>
      </c>
      <c r="F31" s="105">
        <f t="shared" si="2"/>
        <v>4145</v>
      </c>
      <c r="G31" s="136"/>
      <c r="H31" s="47">
        <f t="shared" si="3"/>
        <v>-2943.9269999999997</v>
      </c>
      <c r="I31" s="102"/>
    </row>
    <row r="32" spans="1:9" s="16" customFormat="1" ht="20.100000000000001" customHeight="1" x14ac:dyDescent="0.3">
      <c r="A32" s="30" t="s">
        <v>265</v>
      </c>
      <c r="B32" s="25" t="s">
        <v>197</v>
      </c>
      <c r="C32" s="46">
        <v>0</v>
      </c>
      <c r="D32" s="36">
        <v>685</v>
      </c>
      <c r="E32" s="47">
        <v>632.75400000000002</v>
      </c>
      <c r="F32" s="105">
        <f t="shared" si="2"/>
        <v>685</v>
      </c>
      <c r="G32" s="136"/>
      <c r="H32" s="47">
        <f>E32-D32</f>
        <v>-52.245999999999981</v>
      </c>
      <c r="I32" s="102"/>
    </row>
    <row r="33" spans="1:9" s="69" customFormat="1" ht="20.100000000000001" customHeight="1" x14ac:dyDescent="0.35">
      <c r="A33" s="77" t="s">
        <v>76</v>
      </c>
      <c r="B33" s="28" t="s">
        <v>115</v>
      </c>
      <c r="C33" s="128">
        <v>11780</v>
      </c>
      <c r="D33" s="104">
        <v>5793</v>
      </c>
      <c r="E33" s="104">
        <f>'bieu 17(09)'!E81</f>
        <v>678.94</v>
      </c>
      <c r="F33" s="138">
        <f t="shared" si="2"/>
        <v>-5987</v>
      </c>
      <c r="G33" s="134">
        <f t="shared" si="0"/>
        <v>49.176570458404072</v>
      </c>
      <c r="H33" s="101">
        <f>E33-D33</f>
        <v>-5114.0599999999995</v>
      </c>
      <c r="I33" s="99">
        <f t="shared" si="1"/>
        <v>11.720006904885208</v>
      </c>
    </row>
    <row r="34" spans="1:9" ht="18" customHeight="1" x14ac:dyDescent="0.3">
      <c r="E34" s="42"/>
      <c r="F34" s="42"/>
      <c r="G34" s="42"/>
      <c r="H34" s="42"/>
      <c r="I34" s="42"/>
    </row>
    <row r="35" spans="1:9" ht="18" customHeight="1" x14ac:dyDescent="0.3">
      <c r="E35" s="43"/>
      <c r="F35" s="43"/>
      <c r="G35" s="43"/>
      <c r="H35" s="42"/>
      <c r="I35" s="42"/>
    </row>
    <row r="36" spans="1:9" ht="18" customHeight="1" x14ac:dyDescent="0.3">
      <c r="E36" s="44"/>
      <c r="F36" s="44"/>
      <c r="G36" s="44"/>
      <c r="H36" s="42"/>
      <c r="I36" s="42"/>
    </row>
    <row r="37" spans="1:9" ht="18" customHeight="1" x14ac:dyDescent="0.3">
      <c r="E37" s="44"/>
      <c r="F37" s="44"/>
      <c r="G37" s="44"/>
      <c r="H37" s="42"/>
      <c r="I37" s="42"/>
    </row>
    <row r="38" spans="1:9" ht="18" customHeight="1" x14ac:dyDescent="0.3">
      <c r="E38" s="45"/>
      <c r="F38" s="45"/>
      <c r="G38" s="45"/>
      <c r="H38" s="42"/>
      <c r="I38" s="42"/>
    </row>
    <row r="39" spans="1:9" ht="18" customHeight="1" x14ac:dyDescent="0.3">
      <c r="E39" s="45"/>
      <c r="F39" s="45"/>
      <c r="G39" s="45"/>
      <c r="H39" s="42"/>
      <c r="I39" s="42"/>
    </row>
    <row r="40" spans="1:9" ht="18" customHeight="1" x14ac:dyDescent="0.3">
      <c r="E40" s="42"/>
      <c r="F40" s="42"/>
      <c r="G40" s="42"/>
      <c r="H40" s="42"/>
      <c r="I40" s="42"/>
    </row>
    <row r="41" spans="1:9" ht="18" customHeight="1" x14ac:dyDescent="0.3">
      <c r="E41" s="42"/>
      <c r="F41" s="42"/>
      <c r="G41" s="42"/>
      <c r="H41" s="42"/>
      <c r="I41" s="42"/>
    </row>
    <row r="42" spans="1:9" ht="18" customHeight="1" x14ac:dyDescent="0.3">
      <c r="E42" s="42"/>
      <c r="F42" s="42"/>
      <c r="G42" s="42"/>
      <c r="H42" s="42"/>
      <c r="I42" s="42"/>
    </row>
    <row r="43" spans="1:9" ht="18" customHeight="1" x14ac:dyDescent="0.3">
      <c r="E43" s="42"/>
      <c r="F43" s="42"/>
      <c r="G43" s="42"/>
      <c r="H43" s="42"/>
      <c r="I43" s="42"/>
    </row>
    <row r="44" spans="1:9" ht="18" customHeight="1" x14ac:dyDescent="0.3">
      <c r="E44" s="42"/>
      <c r="F44" s="42"/>
      <c r="G44" s="42"/>
      <c r="H44" s="42"/>
      <c r="I44" s="42"/>
    </row>
    <row r="45" spans="1:9" ht="18" customHeight="1" x14ac:dyDescent="0.3">
      <c r="E45" s="42"/>
      <c r="F45" s="42"/>
      <c r="G45" s="42"/>
      <c r="H45" s="42"/>
      <c r="I45" s="42"/>
    </row>
    <row r="46" spans="1:9" ht="18" customHeight="1" x14ac:dyDescent="0.3">
      <c r="E46" s="42"/>
      <c r="F46" s="42"/>
      <c r="G46" s="42"/>
      <c r="H46" s="42"/>
      <c r="I46" s="42"/>
    </row>
    <row r="47" spans="1:9" ht="18" customHeight="1" x14ac:dyDescent="0.3">
      <c r="E47" s="42"/>
      <c r="F47" s="42"/>
      <c r="G47" s="42"/>
      <c r="H47" s="42"/>
      <c r="I47" s="42"/>
    </row>
    <row r="48" spans="1:9" ht="18" customHeight="1" x14ac:dyDescent="0.3">
      <c r="E48" s="42"/>
      <c r="F48" s="42"/>
      <c r="G48" s="42"/>
      <c r="H48" s="42"/>
      <c r="I48" s="42"/>
    </row>
    <row r="49" spans="5:9" ht="18" customHeight="1" x14ac:dyDescent="0.3">
      <c r="E49" s="42"/>
      <c r="F49" s="42"/>
      <c r="G49" s="42"/>
      <c r="H49" s="42"/>
      <c r="I49" s="42"/>
    </row>
    <row r="50" spans="5:9" ht="18" customHeight="1" x14ac:dyDescent="0.3">
      <c r="E50" s="42"/>
      <c r="F50" s="42"/>
      <c r="G50" s="42"/>
      <c r="H50" s="42"/>
      <c r="I50" s="42"/>
    </row>
    <row r="51" spans="5:9" ht="18" customHeight="1" x14ac:dyDescent="0.3">
      <c r="E51" s="42"/>
      <c r="F51" s="42"/>
      <c r="G51" s="42"/>
      <c r="H51" s="42"/>
      <c r="I51" s="42"/>
    </row>
    <row r="52" spans="5:9" ht="18" customHeight="1" x14ac:dyDescent="0.3">
      <c r="E52" s="42"/>
      <c r="F52" s="42"/>
      <c r="G52" s="42"/>
      <c r="H52" s="42"/>
      <c r="I52" s="42"/>
    </row>
    <row r="53" spans="5:9" ht="18" customHeight="1" x14ac:dyDescent="0.3">
      <c r="E53" s="42"/>
      <c r="F53" s="42"/>
      <c r="G53" s="42"/>
      <c r="H53" s="42"/>
      <c r="I53" s="42"/>
    </row>
    <row r="54" spans="5:9" ht="18" customHeight="1" x14ac:dyDescent="0.3">
      <c r="E54" s="42"/>
      <c r="F54" s="42"/>
      <c r="G54" s="42"/>
      <c r="H54" s="42"/>
      <c r="I54" s="42"/>
    </row>
    <row r="55" spans="5:9" ht="18" customHeight="1" x14ac:dyDescent="0.3">
      <c r="E55" s="42"/>
      <c r="F55" s="42"/>
      <c r="G55" s="42"/>
      <c r="H55" s="42"/>
      <c r="I55" s="42"/>
    </row>
    <row r="56" spans="5:9" ht="18" customHeight="1" x14ac:dyDescent="0.3">
      <c r="E56" s="42"/>
      <c r="F56" s="42"/>
      <c r="G56" s="42"/>
      <c r="H56" s="42"/>
      <c r="I56" s="42"/>
    </row>
    <row r="57" spans="5:9" ht="18" customHeight="1" x14ac:dyDescent="0.3">
      <c r="E57" s="42"/>
      <c r="F57" s="42"/>
      <c r="G57" s="42"/>
      <c r="H57" s="42"/>
      <c r="I57" s="42"/>
    </row>
    <row r="58" spans="5:9" ht="18" customHeight="1" x14ac:dyDescent="0.3">
      <c r="E58" s="42"/>
      <c r="F58" s="42"/>
      <c r="G58" s="42"/>
      <c r="H58" s="42"/>
      <c r="I58" s="42"/>
    </row>
    <row r="59" spans="5:9" ht="18" customHeight="1" x14ac:dyDescent="0.3">
      <c r="E59" s="42"/>
      <c r="F59" s="42"/>
      <c r="G59" s="42"/>
      <c r="H59" s="42"/>
      <c r="I59" s="42"/>
    </row>
    <row r="60" spans="5:9" ht="18" customHeight="1" x14ac:dyDescent="0.3">
      <c r="E60" s="42"/>
      <c r="F60" s="42"/>
      <c r="G60" s="42"/>
      <c r="H60" s="42"/>
      <c r="I60" s="42"/>
    </row>
    <row r="61" spans="5:9" ht="18" customHeight="1" x14ac:dyDescent="0.3">
      <c r="E61" s="42"/>
      <c r="F61" s="42"/>
      <c r="G61" s="42"/>
      <c r="H61" s="42"/>
      <c r="I61" s="42"/>
    </row>
    <row r="62" spans="5:9" ht="18" customHeight="1" x14ac:dyDescent="0.3">
      <c r="E62" s="42"/>
      <c r="F62" s="42"/>
      <c r="G62" s="42"/>
      <c r="H62" s="42"/>
      <c r="I62" s="42"/>
    </row>
    <row r="63" spans="5:9" ht="18" customHeight="1" x14ac:dyDescent="0.3">
      <c r="E63" s="42"/>
      <c r="F63" s="42"/>
      <c r="G63" s="42"/>
      <c r="H63" s="42"/>
      <c r="I63" s="42"/>
    </row>
    <row r="64" spans="5:9" ht="18" customHeight="1" x14ac:dyDescent="0.3">
      <c r="E64" s="42"/>
      <c r="F64" s="42"/>
      <c r="G64" s="42"/>
      <c r="H64" s="42"/>
      <c r="I64" s="42"/>
    </row>
    <row r="65" spans="5:9" ht="18" customHeight="1" x14ac:dyDescent="0.3">
      <c r="E65" s="42"/>
      <c r="F65" s="42"/>
      <c r="G65" s="42"/>
      <c r="H65" s="42"/>
      <c r="I65" s="42"/>
    </row>
    <row r="66" spans="5:9" ht="18" customHeight="1" x14ac:dyDescent="0.3">
      <c r="E66" s="42"/>
      <c r="F66" s="42"/>
      <c r="G66" s="42"/>
      <c r="H66" s="42"/>
      <c r="I66" s="42"/>
    </row>
    <row r="67" spans="5:9" ht="18" customHeight="1" x14ac:dyDescent="0.3">
      <c r="E67" s="42"/>
      <c r="F67" s="42"/>
      <c r="G67" s="42"/>
      <c r="H67" s="42"/>
      <c r="I67" s="42"/>
    </row>
    <row r="68" spans="5:9" ht="18" customHeight="1" x14ac:dyDescent="0.3">
      <c r="E68" s="42"/>
      <c r="F68" s="42"/>
      <c r="G68" s="42"/>
      <c r="H68" s="42"/>
      <c r="I68" s="42"/>
    </row>
    <row r="69" spans="5:9" ht="18" customHeight="1" x14ac:dyDescent="0.3">
      <c r="E69" s="42"/>
      <c r="F69" s="42"/>
      <c r="G69" s="42"/>
      <c r="H69" s="42"/>
      <c r="I69" s="42"/>
    </row>
    <row r="70" spans="5:9" ht="18" customHeight="1" x14ac:dyDescent="0.3">
      <c r="E70" s="42"/>
      <c r="F70" s="42"/>
      <c r="G70" s="42"/>
      <c r="H70" s="42"/>
      <c r="I70" s="42"/>
    </row>
    <row r="71" spans="5:9" ht="18" customHeight="1" x14ac:dyDescent="0.3">
      <c r="E71" s="42"/>
      <c r="F71" s="42"/>
      <c r="G71" s="42"/>
      <c r="H71" s="42"/>
      <c r="I71" s="42"/>
    </row>
    <row r="72" spans="5:9" ht="18" customHeight="1" x14ac:dyDescent="0.3">
      <c r="E72" s="42"/>
      <c r="F72" s="42"/>
      <c r="G72" s="42"/>
      <c r="H72" s="42"/>
      <c r="I72" s="42"/>
    </row>
    <row r="73" spans="5:9" ht="18" customHeight="1" x14ac:dyDescent="0.3">
      <c r="E73" s="42"/>
      <c r="F73" s="42"/>
      <c r="G73" s="42"/>
      <c r="H73" s="42"/>
      <c r="I73" s="42"/>
    </row>
    <row r="74" spans="5:9" ht="18" customHeight="1" x14ac:dyDescent="0.3">
      <c r="E74" s="42"/>
      <c r="F74" s="42"/>
      <c r="G74" s="42"/>
      <c r="H74" s="42"/>
      <c r="I74" s="42"/>
    </row>
    <row r="75" spans="5:9" ht="18" customHeight="1" x14ac:dyDescent="0.3">
      <c r="E75" s="42"/>
      <c r="F75" s="42"/>
      <c r="G75" s="42"/>
      <c r="H75" s="42"/>
      <c r="I75" s="42"/>
    </row>
    <row r="76" spans="5:9" ht="18" customHeight="1" x14ac:dyDescent="0.3">
      <c r="E76" s="42"/>
      <c r="F76" s="42"/>
      <c r="G76" s="42"/>
      <c r="H76" s="42"/>
      <c r="I76" s="42"/>
    </row>
    <row r="77" spans="5:9" ht="18" customHeight="1" x14ac:dyDescent="0.3">
      <c r="E77" s="42"/>
      <c r="F77" s="42"/>
      <c r="G77" s="42"/>
      <c r="H77" s="42"/>
      <c r="I77" s="42"/>
    </row>
    <row r="78" spans="5:9" ht="18" customHeight="1" x14ac:dyDescent="0.3">
      <c r="E78" s="42"/>
      <c r="F78" s="42"/>
      <c r="G78" s="42"/>
      <c r="H78" s="42"/>
      <c r="I78" s="42"/>
    </row>
    <row r="79" spans="5:9" ht="18" customHeight="1" x14ac:dyDescent="0.3"/>
    <row r="80" spans="5:9" ht="18" customHeight="1" x14ac:dyDescent="0.3"/>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89" ht="18" customHeight="1" x14ac:dyDescent="0.3"/>
    <row r="90" ht="18" customHeight="1" x14ac:dyDescent="0.3"/>
    <row r="91" ht="18" customHeight="1" x14ac:dyDescent="0.3"/>
    <row r="92" ht="18" customHeight="1" x14ac:dyDescent="0.3"/>
    <row r="93" ht="18" customHeight="1" x14ac:dyDescent="0.3"/>
    <row r="94" ht="18" customHeight="1" x14ac:dyDescent="0.3"/>
  </sheetData>
  <mergeCells count="11">
    <mergeCell ref="F5:G5"/>
    <mergeCell ref="H1:I1"/>
    <mergeCell ref="A5:A6"/>
    <mergeCell ref="B5:B6"/>
    <mergeCell ref="D5:D6"/>
    <mergeCell ref="E5:E6"/>
    <mergeCell ref="A2:I2"/>
    <mergeCell ref="A3:I3"/>
    <mergeCell ref="H5:I5"/>
    <mergeCell ref="H4:I4"/>
    <mergeCell ref="C5:C6"/>
  </mergeCells>
  <phoneticPr fontId="3" type="noConversion"/>
  <printOptions horizontalCentered="1"/>
  <pageMargins left="0.24" right="0.15748031496063" top="0.23" bottom="0.65" header="0.2" footer="0.2"/>
  <pageSetup paperSize="9" scale="90" orientation="landscape" r:id="rId1"/>
  <headerFooter alignWithMargins="0">
    <oddFooter>&amp;F&amp;RPage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2"/>
  <sheetViews>
    <sheetView tabSelected="1" zoomScale="110" zoomScaleNormal="110" workbookViewId="0">
      <selection activeCell="B14" sqref="B14"/>
    </sheetView>
  </sheetViews>
  <sheetFormatPr defaultRowHeight="18.75" x14ac:dyDescent="0.3"/>
  <cols>
    <col min="1" max="1" width="5" style="14" customWidth="1"/>
    <col min="2" max="2" width="58.28515625" style="14" customWidth="1"/>
    <col min="3" max="3" width="13.85546875" style="14" customWidth="1"/>
    <col min="4" max="4" width="14.28515625" style="22" customWidth="1"/>
    <col min="5" max="5" width="16.7109375" style="14" customWidth="1"/>
    <col min="6" max="7" width="14.28515625" style="14" customWidth="1"/>
    <col min="8" max="8" width="13" style="14" customWidth="1"/>
    <col min="9" max="9" width="13.140625" style="22" bestFit="1" customWidth="1"/>
    <col min="10" max="10" width="9.140625" style="14"/>
    <col min="11" max="11" width="11" style="14" bestFit="1" customWidth="1"/>
    <col min="12" max="16384" width="9.140625" style="14"/>
  </cols>
  <sheetData>
    <row r="1" spans="1:11" x14ac:dyDescent="0.3">
      <c r="E1" s="39"/>
      <c r="F1" s="39"/>
      <c r="G1" s="39"/>
      <c r="H1" s="176" t="s">
        <v>194</v>
      </c>
      <c r="I1" s="176"/>
    </row>
    <row r="2" spans="1:11" ht="18.75" customHeight="1" x14ac:dyDescent="0.3">
      <c r="A2" s="176" t="s">
        <v>261</v>
      </c>
      <c r="B2" s="176"/>
      <c r="C2" s="176"/>
      <c r="D2" s="176"/>
      <c r="E2" s="176"/>
      <c r="F2" s="176"/>
      <c r="G2" s="176"/>
      <c r="H2" s="176"/>
      <c r="I2" s="176"/>
    </row>
    <row r="3" spans="1:11" ht="18" customHeight="1" x14ac:dyDescent="0.3">
      <c r="A3" s="194" t="str">
        <f>'bieu 12 (PL05)'!A3:I3</f>
        <v>(Kèm theo Tờ trình số:           /TTr-UBND ngày      /11/2024 của UBND huyện Phụng Hiệp)</v>
      </c>
      <c r="B3" s="194"/>
      <c r="C3" s="194"/>
      <c r="D3" s="194"/>
      <c r="E3" s="194"/>
      <c r="F3" s="194"/>
      <c r="G3" s="194"/>
      <c r="H3" s="194"/>
      <c r="I3" s="194"/>
    </row>
    <row r="4" spans="1:11" x14ac:dyDescent="0.3">
      <c r="H4" s="181" t="s">
        <v>25</v>
      </c>
      <c r="I4" s="181"/>
    </row>
    <row r="5" spans="1:11" s="15" customFormat="1" ht="56.45" customHeight="1" x14ac:dyDescent="0.3">
      <c r="A5" s="195" t="s">
        <v>3</v>
      </c>
      <c r="B5" s="195" t="s">
        <v>21</v>
      </c>
      <c r="C5" s="197" t="s">
        <v>274</v>
      </c>
      <c r="D5" s="197" t="s">
        <v>288</v>
      </c>
      <c r="E5" s="197" t="s">
        <v>282</v>
      </c>
      <c r="F5" s="192" t="s">
        <v>289</v>
      </c>
      <c r="G5" s="193"/>
      <c r="H5" s="192" t="s">
        <v>290</v>
      </c>
      <c r="I5" s="193"/>
    </row>
    <row r="6" spans="1:11" s="32" customFormat="1" ht="62.45" customHeight="1" x14ac:dyDescent="0.3">
      <c r="A6" s="196"/>
      <c r="B6" s="196"/>
      <c r="C6" s="198"/>
      <c r="D6" s="198"/>
      <c r="E6" s="198"/>
      <c r="F6" s="1" t="s">
        <v>20</v>
      </c>
      <c r="G6" s="2" t="s">
        <v>24</v>
      </c>
      <c r="H6" s="1" t="s">
        <v>20</v>
      </c>
      <c r="I6" s="2" t="s">
        <v>24</v>
      </c>
    </row>
    <row r="7" spans="1:11" s="32" customFormat="1" x14ac:dyDescent="0.3">
      <c r="A7" s="40" t="s">
        <v>0</v>
      </c>
      <c r="B7" s="40" t="s">
        <v>1</v>
      </c>
      <c r="C7" s="31" t="s">
        <v>22</v>
      </c>
      <c r="D7" s="31" t="s">
        <v>23</v>
      </c>
      <c r="E7" s="31" t="s">
        <v>118</v>
      </c>
      <c r="F7" s="31" t="s">
        <v>11</v>
      </c>
      <c r="G7" s="31" t="s">
        <v>18</v>
      </c>
      <c r="H7" s="31" t="s">
        <v>19</v>
      </c>
      <c r="I7" s="31" t="s">
        <v>98</v>
      </c>
      <c r="K7" s="139"/>
    </row>
    <row r="8" spans="1:11" x14ac:dyDescent="0.3">
      <c r="A8" s="142"/>
      <c r="B8" s="142" t="s">
        <v>119</v>
      </c>
      <c r="C8" s="141">
        <f>C9+C13+C47+C76+C79+C80+C81</f>
        <v>588066.5</v>
      </c>
      <c r="D8" s="141">
        <f>D9+D13+D47+D76+D79+D80+D81</f>
        <v>625453.93900000001</v>
      </c>
      <c r="E8" s="220">
        <f>E9+E13+E47+E76+E79+E80+E81</f>
        <v>693240.33649999986</v>
      </c>
      <c r="F8" s="221">
        <f>F9+F13+F47+F76+F79+F80+F81</f>
        <v>37387.654999999999</v>
      </c>
      <c r="G8" s="222">
        <f>D8/C8*100</f>
        <v>106.3576889688496</v>
      </c>
      <c r="H8" s="223">
        <f>H9+H13+H47+H76+H79+H80+H81</f>
        <v>67786.181500000021</v>
      </c>
      <c r="I8" s="144">
        <f>E8/D8*100</f>
        <v>110.83795196947347</v>
      </c>
      <c r="K8" s="121"/>
    </row>
    <row r="9" spans="1:11" s="15" customFormat="1" x14ac:dyDescent="0.3">
      <c r="A9" s="142" t="s">
        <v>0</v>
      </c>
      <c r="B9" s="48" t="s">
        <v>120</v>
      </c>
      <c r="C9" s="143">
        <f>SUM(C10:C12)</f>
        <v>61091</v>
      </c>
      <c r="D9" s="143">
        <f>SUM(D10:D12)</f>
        <v>54579</v>
      </c>
      <c r="E9" s="164">
        <f>SUM(E10:E12)</f>
        <v>65250.224999999999</v>
      </c>
      <c r="F9" s="224">
        <f>SUM(F10:F12)</f>
        <v>-6512</v>
      </c>
      <c r="G9" s="222">
        <f t="shared" ref="G9:G76" si="0">D9/C9*100</f>
        <v>89.34049205283921</v>
      </c>
      <c r="H9" s="213">
        <f>SUM(H10:H12)</f>
        <v>10671.224999999999</v>
      </c>
      <c r="I9" s="144">
        <f t="shared" ref="I9:I81" si="1">E9/D9*100</f>
        <v>119.55188808882538</v>
      </c>
    </row>
    <row r="10" spans="1:11" s="16" customFormat="1" ht="23.25" customHeight="1" x14ac:dyDescent="0.3">
      <c r="A10" s="146">
        <v>1</v>
      </c>
      <c r="B10" s="147" t="s">
        <v>259</v>
      </c>
      <c r="C10" s="215">
        <v>12916</v>
      </c>
      <c r="D10" s="148">
        <v>12916</v>
      </c>
      <c r="E10" s="163">
        <f>12916+9660</f>
        <v>22576</v>
      </c>
      <c r="F10" s="163">
        <f>D10-C10</f>
        <v>0</v>
      </c>
      <c r="G10" s="225">
        <f t="shared" si="0"/>
        <v>100</v>
      </c>
      <c r="H10" s="217">
        <f>E10-D10</f>
        <v>9660</v>
      </c>
      <c r="I10" s="149">
        <f t="shared" si="1"/>
        <v>174.79095695261691</v>
      </c>
    </row>
    <row r="11" spans="1:11" s="16" customFormat="1" ht="37.5" x14ac:dyDescent="0.3">
      <c r="A11" s="162" t="s">
        <v>23</v>
      </c>
      <c r="B11" s="166" t="s">
        <v>204</v>
      </c>
      <c r="C11" s="226">
        <v>18255</v>
      </c>
      <c r="D11" s="148">
        <v>9120</v>
      </c>
      <c r="E11" s="163">
        <f>D11</f>
        <v>9120</v>
      </c>
      <c r="F11" s="227">
        <f>D11-C11</f>
        <v>-9135</v>
      </c>
      <c r="G11" s="225">
        <f t="shared" si="0"/>
        <v>49.958915365653247</v>
      </c>
      <c r="H11" s="217">
        <f t="shared" ref="H11:H81" si="2">E11-D11</f>
        <v>0</v>
      </c>
      <c r="I11" s="149">
        <f t="shared" si="1"/>
        <v>100</v>
      </c>
    </row>
    <row r="12" spans="1:11" ht="21" customHeight="1" x14ac:dyDescent="0.3">
      <c r="A12" s="162" t="s">
        <v>118</v>
      </c>
      <c r="B12" s="147" t="s">
        <v>158</v>
      </c>
      <c r="C12" s="215">
        <v>29920</v>
      </c>
      <c r="D12" s="161">
        <v>32543</v>
      </c>
      <c r="E12" s="168">
        <f>65250.225-E10-E11</f>
        <v>33554.224999999999</v>
      </c>
      <c r="F12" s="163">
        <f>D12-C12</f>
        <v>2623</v>
      </c>
      <c r="G12" s="225">
        <f t="shared" si="0"/>
        <v>108.76671122994652</v>
      </c>
      <c r="H12" s="217">
        <f>E12-D12</f>
        <v>1011.2249999999985</v>
      </c>
      <c r="I12" s="149">
        <f t="shared" si="1"/>
        <v>103.10735027502074</v>
      </c>
    </row>
    <row r="13" spans="1:11" s="69" customFormat="1" ht="22.9" customHeight="1" x14ac:dyDescent="0.35">
      <c r="A13" s="142" t="s">
        <v>1</v>
      </c>
      <c r="B13" s="48" t="s">
        <v>121</v>
      </c>
      <c r="C13" s="228">
        <f>C14+SUM(C22:C26)</f>
        <v>450005</v>
      </c>
      <c r="D13" s="228">
        <f>D14+SUM(D22:D26)</f>
        <v>490019.63899999997</v>
      </c>
      <c r="E13" s="228">
        <f>E14+SUM(E22:E26)</f>
        <v>542715.05949999997</v>
      </c>
      <c r="F13" s="228">
        <f>F14+SUM(F22:F26)</f>
        <v>40014.855000000003</v>
      </c>
      <c r="G13" s="165">
        <f t="shared" si="0"/>
        <v>108.89204319951999</v>
      </c>
      <c r="H13" s="228">
        <f>H14+SUM(H22:H26)</f>
        <v>52695.204500000014</v>
      </c>
      <c r="I13" s="144">
        <f t="shared" si="1"/>
        <v>110.75373644361221</v>
      </c>
    </row>
    <row r="14" spans="1:11" s="16" customFormat="1" ht="22.9" customHeight="1" x14ac:dyDescent="0.3">
      <c r="A14" s="162" t="s">
        <v>22</v>
      </c>
      <c r="B14" s="147" t="s">
        <v>236</v>
      </c>
      <c r="C14" s="161">
        <f>C15+C20+C21</f>
        <v>3258</v>
      </c>
      <c r="D14" s="161">
        <v>8690</v>
      </c>
      <c r="E14" s="161">
        <f>E15+E20+E21</f>
        <v>10077.155999999999</v>
      </c>
      <c r="F14" s="161">
        <f>F15+F20+F21</f>
        <v>5432.2160000000003</v>
      </c>
      <c r="G14" s="225">
        <f t="shared" si="0"/>
        <v>266.7280540208717</v>
      </c>
      <c r="H14" s="161">
        <f>H15+H20+H21</f>
        <v>1386.9400000000005</v>
      </c>
      <c r="I14" s="149">
        <f t="shared" si="1"/>
        <v>115.96266973532796</v>
      </c>
    </row>
    <row r="15" spans="1:11" s="16" customFormat="1" ht="22.9" customHeight="1" x14ac:dyDescent="0.3">
      <c r="A15" s="162" t="s">
        <v>237</v>
      </c>
      <c r="B15" s="147" t="s">
        <v>298</v>
      </c>
      <c r="C15" s="161">
        <f>SUM(C16:C19)</f>
        <v>3258</v>
      </c>
      <c r="D15" s="161">
        <f>SUM(D16:D19)</f>
        <v>4937</v>
      </c>
      <c r="E15" s="161">
        <f>SUM(E16:E19)</f>
        <v>5744.3459999999995</v>
      </c>
      <c r="F15" s="161">
        <f>SUM(F16:F19)</f>
        <v>1679</v>
      </c>
      <c r="G15" s="225">
        <f t="shared" si="0"/>
        <v>151.53468385512585</v>
      </c>
      <c r="H15" s="161">
        <f>SUM(H16:H19)</f>
        <v>807.346</v>
      </c>
      <c r="I15" s="149">
        <f t="shared" si="1"/>
        <v>116.35296738910267</v>
      </c>
    </row>
    <row r="16" spans="1:11" s="16" customFormat="1" ht="22.9" customHeight="1" x14ac:dyDescent="0.3">
      <c r="A16" s="162"/>
      <c r="B16" s="147" t="s">
        <v>238</v>
      </c>
      <c r="C16" s="152">
        <v>1269</v>
      </c>
      <c r="D16" s="168">
        <v>1688</v>
      </c>
      <c r="E16" s="168">
        <v>1909.931</v>
      </c>
      <c r="F16" s="168">
        <f>D16-C16</f>
        <v>419</v>
      </c>
      <c r="G16" s="225">
        <f t="shared" si="0"/>
        <v>133.01812450748619</v>
      </c>
      <c r="H16" s="217">
        <f t="shared" ref="H16:H21" si="3">E16-D16</f>
        <v>221.93100000000004</v>
      </c>
      <c r="I16" s="149">
        <f t="shared" si="1"/>
        <v>113.14757109004741</v>
      </c>
    </row>
    <row r="17" spans="1:9" s="16" customFormat="1" ht="22.9" customHeight="1" x14ac:dyDescent="0.3">
      <c r="A17" s="162"/>
      <c r="B17" s="147" t="s">
        <v>239</v>
      </c>
      <c r="C17" s="152">
        <v>257</v>
      </c>
      <c r="D17" s="168">
        <v>785</v>
      </c>
      <c r="E17" s="168">
        <v>1039.0229999999999</v>
      </c>
      <c r="F17" s="168">
        <f t="shared" ref="F17:F25" si="4">D17-C17</f>
        <v>528</v>
      </c>
      <c r="G17" s="225">
        <f t="shared" si="0"/>
        <v>305.44747081712057</v>
      </c>
      <c r="H17" s="217">
        <f t="shared" si="3"/>
        <v>254.02299999999991</v>
      </c>
      <c r="I17" s="149">
        <f t="shared" si="1"/>
        <v>132.3596178343949</v>
      </c>
    </row>
    <row r="18" spans="1:9" s="16" customFormat="1" ht="22.9" customHeight="1" x14ac:dyDescent="0.3">
      <c r="A18" s="162"/>
      <c r="B18" s="147" t="s">
        <v>240</v>
      </c>
      <c r="C18" s="152">
        <v>1242</v>
      </c>
      <c r="D18" s="168">
        <v>1728</v>
      </c>
      <c r="E18" s="168">
        <v>1816.3620000000001</v>
      </c>
      <c r="F18" s="168">
        <f t="shared" si="4"/>
        <v>486</v>
      </c>
      <c r="G18" s="225">
        <f t="shared" si="0"/>
        <v>139.13043478260869</v>
      </c>
      <c r="H18" s="217">
        <f t="shared" si="3"/>
        <v>88.36200000000008</v>
      </c>
      <c r="I18" s="149">
        <f t="shared" si="1"/>
        <v>105.11354166666666</v>
      </c>
    </row>
    <row r="19" spans="1:9" s="16" customFormat="1" ht="22.9" customHeight="1" x14ac:dyDescent="0.3">
      <c r="A19" s="162"/>
      <c r="B19" s="147" t="s">
        <v>241</v>
      </c>
      <c r="C19" s="152">
        <v>490</v>
      </c>
      <c r="D19" s="168">
        <v>736</v>
      </c>
      <c r="E19" s="168">
        <v>979.03</v>
      </c>
      <c r="F19" s="168">
        <f t="shared" si="4"/>
        <v>246</v>
      </c>
      <c r="G19" s="225">
        <f t="shared" si="0"/>
        <v>150.20408163265307</v>
      </c>
      <c r="H19" s="217">
        <f t="shared" si="3"/>
        <v>243.02999999999997</v>
      </c>
      <c r="I19" s="149">
        <f t="shared" si="1"/>
        <v>133.02038043478262</v>
      </c>
    </row>
    <row r="20" spans="1:9" s="16" customFormat="1" ht="22.9" customHeight="1" x14ac:dyDescent="0.3">
      <c r="A20" s="162" t="s">
        <v>242</v>
      </c>
      <c r="B20" s="147" t="s">
        <v>243</v>
      </c>
      <c r="C20" s="215"/>
      <c r="D20" s="168">
        <v>3.2160000000000002</v>
      </c>
      <c r="E20" s="168">
        <v>0</v>
      </c>
      <c r="F20" s="168">
        <f t="shared" si="4"/>
        <v>3.2160000000000002</v>
      </c>
      <c r="G20" s="165"/>
      <c r="H20" s="217">
        <f t="shared" si="3"/>
        <v>-3.2160000000000002</v>
      </c>
      <c r="I20" s="149">
        <f t="shared" si="1"/>
        <v>0</v>
      </c>
    </row>
    <row r="21" spans="1:9" s="16" customFormat="1" ht="22.9" customHeight="1" x14ac:dyDescent="0.3">
      <c r="A21" s="162" t="s">
        <v>260</v>
      </c>
      <c r="B21" s="147" t="s">
        <v>133</v>
      </c>
      <c r="C21" s="215"/>
      <c r="D21" s="168">
        <v>3750</v>
      </c>
      <c r="E21" s="168">
        <v>4332.8100000000004</v>
      </c>
      <c r="F21" s="168">
        <f t="shared" si="4"/>
        <v>3750</v>
      </c>
      <c r="G21" s="165"/>
      <c r="H21" s="217">
        <f t="shared" si="3"/>
        <v>582.8100000000004</v>
      </c>
      <c r="I21" s="149">
        <f t="shared" si="1"/>
        <v>115.5416</v>
      </c>
    </row>
    <row r="22" spans="1:9" s="16" customFormat="1" ht="22.9" customHeight="1" x14ac:dyDescent="0.3">
      <c r="A22" s="162" t="s">
        <v>23</v>
      </c>
      <c r="B22" s="147" t="s">
        <v>122</v>
      </c>
      <c r="C22" s="215">
        <v>102722</v>
      </c>
      <c r="D22" s="217">
        <v>102203.3</v>
      </c>
      <c r="E22" s="217">
        <v>119013.936</v>
      </c>
      <c r="F22" s="229">
        <f t="shared" si="4"/>
        <v>-518.69999999999709</v>
      </c>
      <c r="G22" s="225">
        <f t="shared" si="0"/>
        <v>99.495044878409686</v>
      </c>
      <c r="H22" s="217">
        <f t="shared" si="2"/>
        <v>16810.635999999999</v>
      </c>
      <c r="I22" s="230">
        <f t="shared" si="1"/>
        <v>116.44823210209454</v>
      </c>
    </row>
    <row r="23" spans="1:9" s="16" customFormat="1" ht="22.9" customHeight="1" x14ac:dyDescent="0.3">
      <c r="A23" s="162" t="s">
        <v>118</v>
      </c>
      <c r="B23" s="147" t="s">
        <v>123</v>
      </c>
      <c r="C23" s="215">
        <v>560</v>
      </c>
      <c r="D23" s="168">
        <v>560</v>
      </c>
      <c r="E23" s="168">
        <v>560</v>
      </c>
      <c r="F23" s="168">
        <f t="shared" si="4"/>
        <v>0</v>
      </c>
      <c r="G23" s="225">
        <f t="shared" si="0"/>
        <v>100</v>
      </c>
      <c r="H23" s="217">
        <f t="shared" si="2"/>
        <v>0</v>
      </c>
      <c r="I23" s="230">
        <f t="shared" si="1"/>
        <v>100</v>
      </c>
    </row>
    <row r="24" spans="1:9" s="16" customFormat="1" ht="22.9" customHeight="1" x14ac:dyDescent="0.3">
      <c r="A24" s="162" t="s">
        <v>11</v>
      </c>
      <c r="B24" s="147" t="s">
        <v>124</v>
      </c>
      <c r="C24" s="215">
        <v>8828</v>
      </c>
      <c r="D24" s="168">
        <v>12420</v>
      </c>
      <c r="E24" s="168">
        <v>12419.562</v>
      </c>
      <c r="F24" s="168">
        <f t="shared" si="4"/>
        <v>3592</v>
      </c>
      <c r="G24" s="225">
        <f t="shared" si="0"/>
        <v>140.68871771635705</v>
      </c>
      <c r="H24" s="217">
        <f>E24-D24</f>
        <v>-0.43800000000010186</v>
      </c>
      <c r="I24" s="230">
        <f t="shared" si="1"/>
        <v>99.996473429951692</v>
      </c>
    </row>
    <row r="25" spans="1:9" s="16" customFormat="1" ht="22.9" customHeight="1" x14ac:dyDescent="0.3">
      <c r="A25" s="162" t="s">
        <v>18</v>
      </c>
      <c r="B25" s="147" t="s">
        <v>125</v>
      </c>
      <c r="C25" s="215">
        <v>327207</v>
      </c>
      <c r="D25" s="163">
        <v>353512</v>
      </c>
      <c r="E25" s="163">
        <v>390463.79200000002</v>
      </c>
      <c r="F25" s="168">
        <f t="shared" si="4"/>
        <v>26305</v>
      </c>
      <c r="G25" s="225">
        <f t="shared" si="0"/>
        <v>108.03925343895455</v>
      </c>
      <c r="H25" s="217">
        <f>E25-D25</f>
        <v>36951.792000000016</v>
      </c>
      <c r="I25" s="230">
        <f t="shared" si="1"/>
        <v>110.45276878861256</v>
      </c>
    </row>
    <row r="26" spans="1:9" s="16" customFormat="1" ht="22.9" customHeight="1" x14ac:dyDescent="0.3">
      <c r="A26" s="162" t="s">
        <v>19</v>
      </c>
      <c r="B26" s="147" t="s">
        <v>126</v>
      </c>
      <c r="C26" s="231">
        <f>SUM(C27:C46)</f>
        <v>7430</v>
      </c>
      <c r="D26" s="161">
        <f>SUM(D27:D46)</f>
        <v>12634.339</v>
      </c>
      <c r="E26" s="168">
        <f>SUM(E27:E46)</f>
        <v>10180.613499999998</v>
      </c>
      <c r="F26" s="168">
        <f>SUM(F27:F46)</f>
        <v>5204.3390000000018</v>
      </c>
      <c r="G26" s="225">
        <f t="shared" si="0"/>
        <v>170.04493943472409</v>
      </c>
      <c r="H26" s="218">
        <f>SUM(H27:H46)</f>
        <v>-2453.7255</v>
      </c>
      <c r="I26" s="149">
        <f t="shared" si="1"/>
        <v>80.578916712619446</v>
      </c>
    </row>
    <row r="27" spans="1:9" s="16" customFormat="1" ht="22.9" customHeight="1" x14ac:dyDescent="0.3">
      <c r="A27" s="162"/>
      <c r="B27" s="147" t="s">
        <v>299</v>
      </c>
      <c r="C27" s="215">
        <v>3079</v>
      </c>
      <c r="D27" s="168">
        <v>3383</v>
      </c>
      <c r="E27" s="168">
        <v>3492.3240000000001</v>
      </c>
      <c r="F27" s="168">
        <f>D27-C27</f>
        <v>304</v>
      </c>
      <c r="G27" s="225">
        <f t="shared" si="0"/>
        <v>109.87333549853848</v>
      </c>
      <c r="H27" s="217">
        <f t="shared" si="2"/>
        <v>109.32400000000007</v>
      </c>
      <c r="I27" s="149">
        <f t="shared" si="1"/>
        <v>103.23156961276973</v>
      </c>
    </row>
    <row r="28" spans="1:9" s="16" customFormat="1" ht="22.9" customHeight="1" x14ac:dyDescent="0.3">
      <c r="A28" s="162"/>
      <c r="B28" s="147" t="s">
        <v>127</v>
      </c>
      <c r="C28" s="215">
        <v>3651</v>
      </c>
      <c r="D28" s="168">
        <v>3378</v>
      </c>
      <c r="E28" s="168">
        <v>3769.3240000000001</v>
      </c>
      <c r="F28" s="229">
        <f t="shared" ref="F28:F46" si="5">D28-C28</f>
        <v>-273</v>
      </c>
      <c r="G28" s="225">
        <f t="shared" si="0"/>
        <v>92.522596548890718</v>
      </c>
      <c r="H28" s="217">
        <f t="shared" si="2"/>
        <v>391.32400000000007</v>
      </c>
      <c r="I28" s="149">
        <f t="shared" si="1"/>
        <v>111.58448786264061</v>
      </c>
    </row>
    <row r="29" spans="1:9" s="16" customFormat="1" ht="22.9" customHeight="1" x14ac:dyDescent="0.3">
      <c r="A29" s="162"/>
      <c r="B29" s="147" t="s">
        <v>300</v>
      </c>
      <c r="C29" s="215"/>
      <c r="D29" s="168">
        <v>276</v>
      </c>
      <c r="E29" s="168">
        <v>276</v>
      </c>
      <c r="F29" s="168">
        <f t="shared" si="5"/>
        <v>276</v>
      </c>
      <c r="G29" s="225"/>
      <c r="H29" s="217">
        <f t="shared" si="2"/>
        <v>0</v>
      </c>
      <c r="I29" s="149">
        <f t="shared" si="1"/>
        <v>100</v>
      </c>
    </row>
    <row r="30" spans="1:9" s="16" customFormat="1" ht="22.9" customHeight="1" x14ac:dyDescent="0.3">
      <c r="A30" s="162"/>
      <c r="B30" s="147" t="s">
        <v>301</v>
      </c>
      <c r="C30" s="215"/>
      <c r="D30" s="168">
        <v>1059.8800000000001</v>
      </c>
      <c r="E30" s="168">
        <v>379.88</v>
      </c>
      <c r="F30" s="168">
        <f t="shared" si="5"/>
        <v>1059.8800000000001</v>
      </c>
      <c r="G30" s="165"/>
      <c r="H30" s="217">
        <f t="shared" si="2"/>
        <v>-680.00000000000011</v>
      </c>
      <c r="I30" s="149">
        <f t="shared" si="1"/>
        <v>35.84179341057478</v>
      </c>
    </row>
    <row r="31" spans="1:9" s="16" customFormat="1" ht="22.9" customHeight="1" x14ac:dyDescent="0.3">
      <c r="A31" s="162"/>
      <c r="B31" s="147" t="s">
        <v>302</v>
      </c>
      <c r="C31" s="215"/>
      <c r="D31" s="168">
        <v>3343.5720000000001</v>
      </c>
      <c r="E31" s="168">
        <v>1091.402</v>
      </c>
      <c r="F31" s="168">
        <f t="shared" si="5"/>
        <v>3343.5720000000001</v>
      </c>
      <c r="G31" s="165"/>
      <c r="H31" s="217">
        <f t="shared" si="2"/>
        <v>-2252.17</v>
      </c>
      <c r="I31" s="149">
        <f t="shared" si="1"/>
        <v>32.641797454937418</v>
      </c>
    </row>
    <row r="32" spans="1:9" s="16" customFormat="1" ht="22.9" customHeight="1" x14ac:dyDescent="0.3">
      <c r="A32" s="162"/>
      <c r="B32" s="147" t="s">
        <v>303</v>
      </c>
      <c r="C32" s="215"/>
      <c r="D32" s="168">
        <v>249.10400000000001</v>
      </c>
      <c r="E32" s="168">
        <v>249.10400000000001</v>
      </c>
      <c r="F32" s="168">
        <f t="shared" si="5"/>
        <v>249.10400000000001</v>
      </c>
      <c r="G32" s="165"/>
      <c r="H32" s="217">
        <f t="shared" si="2"/>
        <v>0</v>
      </c>
      <c r="I32" s="149">
        <f t="shared" si="1"/>
        <v>100</v>
      </c>
    </row>
    <row r="33" spans="1:9" s="16" customFormat="1" ht="22.9" customHeight="1" x14ac:dyDescent="0.3">
      <c r="A33" s="162"/>
      <c r="B33" s="147" t="s">
        <v>231</v>
      </c>
      <c r="C33" s="215"/>
      <c r="D33" s="168">
        <v>575.17999999999995</v>
      </c>
      <c r="E33" s="168">
        <v>176</v>
      </c>
      <c r="F33" s="168">
        <f t="shared" si="5"/>
        <v>575.17999999999995</v>
      </c>
      <c r="G33" s="165"/>
      <c r="H33" s="217">
        <f t="shared" si="2"/>
        <v>-399.17999999999995</v>
      </c>
      <c r="I33" s="149">
        <f t="shared" si="1"/>
        <v>30.59911679821969</v>
      </c>
    </row>
    <row r="34" spans="1:9" s="16" customFormat="1" ht="22.9" customHeight="1" x14ac:dyDescent="0.3">
      <c r="A34" s="162"/>
      <c r="B34" s="147" t="s">
        <v>232</v>
      </c>
      <c r="C34" s="215"/>
      <c r="D34" s="168">
        <v>46.27</v>
      </c>
      <c r="E34" s="168">
        <v>430.5</v>
      </c>
      <c r="F34" s="168">
        <f t="shared" si="5"/>
        <v>46.27</v>
      </c>
      <c r="G34" s="165"/>
      <c r="H34" s="217">
        <f>E34-D34</f>
        <v>384.23</v>
      </c>
      <c r="I34" s="149">
        <f t="shared" si="1"/>
        <v>930.40847201210272</v>
      </c>
    </row>
    <row r="35" spans="1:9" s="16" customFormat="1" ht="22.9" customHeight="1" x14ac:dyDescent="0.3">
      <c r="A35" s="162"/>
      <c r="B35" s="147" t="s">
        <v>293</v>
      </c>
      <c r="C35" s="215"/>
      <c r="D35" s="168"/>
      <c r="E35" s="168">
        <v>11.7</v>
      </c>
      <c r="F35" s="168">
        <f t="shared" si="5"/>
        <v>0</v>
      </c>
      <c r="G35" s="165"/>
      <c r="H35" s="217">
        <f>E35-D35</f>
        <v>11.7</v>
      </c>
      <c r="I35" s="149"/>
    </row>
    <row r="36" spans="1:9" s="16" customFormat="1" ht="22.9" customHeight="1" x14ac:dyDescent="0.3">
      <c r="A36" s="162"/>
      <c r="B36" s="147" t="s">
        <v>262</v>
      </c>
      <c r="C36" s="215"/>
      <c r="D36" s="168">
        <v>48</v>
      </c>
      <c r="E36" s="168">
        <v>48</v>
      </c>
      <c r="F36" s="168">
        <f t="shared" si="5"/>
        <v>48</v>
      </c>
      <c r="G36" s="165"/>
      <c r="H36" s="217">
        <f t="shared" si="2"/>
        <v>0</v>
      </c>
      <c r="I36" s="149">
        <f t="shared" si="1"/>
        <v>100</v>
      </c>
    </row>
    <row r="37" spans="1:9" s="16" customFormat="1" ht="22.9" customHeight="1" x14ac:dyDescent="0.3">
      <c r="A37" s="162"/>
      <c r="B37" s="147" t="s">
        <v>304</v>
      </c>
      <c r="C37" s="215"/>
      <c r="D37" s="168">
        <v>36.533000000000001</v>
      </c>
      <c r="E37" s="168">
        <v>79.694999999999993</v>
      </c>
      <c r="F37" s="168">
        <f t="shared" si="5"/>
        <v>36.533000000000001</v>
      </c>
      <c r="G37" s="165"/>
      <c r="H37" s="217">
        <f t="shared" si="2"/>
        <v>43.161999999999992</v>
      </c>
      <c r="I37" s="149">
        <f t="shared" si="1"/>
        <v>218.14523855144662</v>
      </c>
    </row>
    <row r="38" spans="1:9" s="16" customFormat="1" ht="22.9" customHeight="1" x14ac:dyDescent="0.3">
      <c r="A38" s="162"/>
      <c r="B38" s="147" t="s">
        <v>305</v>
      </c>
      <c r="C38" s="215"/>
      <c r="D38" s="168"/>
      <c r="E38" s="168">
        <v>2.5</v>
      </c>
      <c r="F38" s="168"/>
      <c r="G38" s="165"/>
      <c r="H38" s="217">
        <f t="shared" si="2"/>
        <v>2.5</v>
      </c>
      <c r="I38" s="149"/>
    </row>
    <row r="39" spans="1:9" s="16" customFormat="1" ht="22.9" customHeight="1" x14ac:dyDescent="0.3">
      <c r="A39" s="162"/>
      <c r="B39" s="147" t="s">
        <v>267</v>
      </c>
      <c r="C39" s="215"/>
      <c r="D39" s="168">
        <v>2.8</v>
      </c>
      <c r="E39" s="168">
        <v>2.8</v>
      </c>
      <c r="F39" s="168">
        <f t="shared" si="5"/>
        <v>2.8</v>
      </c>
      <c r="G39" s="165"/>
      <c r="H39" s="217">
        <f t="shared" si="2"/>
        <v>0</v>
      </c>
      <c r="I39" s="149">
        <f t="shared" si="1"/>
        <v>100</v>
      </c>
    </row>
    <row r="40" spans="1:9" s="16" customFormat="1" ht="22.9" customHeight="1" x14ac:dyDescent="0.3">
      <c r="A40" s="162"/>
      <c r="B40" s="147" t="s">
        <v>268</v>
      </c>
      <c r="C40" s="215"/>
      <c r="D40" s="168">
        <v>17</v>
      </c>
      <c r="E40" s="168">
        <v>17</v>
      </c>
      <c r="F40" s="168">
        <f t="shared" si="5"/>
        <v>17</v>
      </c>
      <c r="G40" s="165"/>
      <c r="H40" s="217">
        <f t="shared" si="2"/>
        <v>0</v>
      </c>
      <c r="I40" s="149">
        <f t="shared" si="1"/>
        <v>100</v>
      </c>
    </row>
    <row r="41" spans="1:9" s="16" customFormat="1" ht="22.9" customHeight="1" x14ac:dyDescent="0.3">
      <c r="A41" s="162"/>
      <c r="B41" s="147" t="s">
        <v>306</v>
      </c>
      <c r="C41" s="215"/>
      <c r="D41" s="168">
        <v>5</v>
      </c>
      <c r="E41" s="168">
        <v>5</v>
      </c>
      <c r="F41" s="168">
        <f t="shared" si="5"/>
        <v>5</v>
      </c>
      <c r="G41" s="165"/>
      <c r="H41" s="217">
        <f t="shared" si="2"/>
        <v>0</v>
      </c>
      <c r="I41" s="149">
        <f t="shared" si="1"/>
        <v>100</v>
      </c>
    </row>
    <row r="42" spans="1:9" s="16" customFormat="1" ht="22.9" customHeight="1" x14ac:dyDescent="0.3">
      <c r="A42" s="162"/>
      <c r="B42" s="147" t="s">
        <v>294</v>
      </c>
      <c r="C42" s="215"/>
      <c r="D42" s="168">
        <v>12</v>
      </c>
      <c r="E42" s="168">
        <v>59.924999999999997</v>
      </c>
      <c r="F42" s="168">
        <f t="shared" si="5"/>
        <v>12</v>
      </c>
      <c r="G42" s="165"/>
      <c r="H42" s="217">
        <f t="shared" si="2"/>
        <v>47.924999999999997</v>
      </c>
      <c r="I42" s="149">
        <f t="shared" si="1"/>
        <v>499.37499999999994</v>
      </c>
    </row>
    <row r="43" spans="1:9" s="16" customFormat="1" ht="22.9" customHeight="1" x14ac:dyDescent="0.3">
      <c r="A43" s="162"/>
      <c r="B43" s="147" t="s">
        <v>269</v>
      </c>
      <c r="C43" s="215"/>
      <c r="D43" s="168">
        <v>12</v>
      </c>
      <c r="E43" s="168">
        <v>11.9625</v>
      </c>
      <c r="F43" s="168">
        <f t="shared" si="5"/>
        <v>12</v>
      </c>
      <c r="G43" s="165"/>
      <c r="H43" s="217">
        <f t="shared" si="2"/>
        <v>-3.7499999999999645E-2</v>
      </c>
      <c r="I43" s="149">
        <f t="shared" si="1"/>
        <v>99.6875</v>
      </c>
    </row>
    <row r="44" spans="1:9" s="16" customFormat="1" ht="22.9" customHeight="1" x14ac:dyDescent="0.3">
      <c r="A44" s="162"/>
      <c r="B44" s="147" t="s">
        <v>307</v>
      </c>
      <c r="C44" s="215"/>
      <c r="D44" s="168"/>
      <c r="E44" s="168">
        <v>18</v>
      </c>
      <c r="F44" s="168">
        <f t="shared" si="5"/>
        <v>0</v>
      </c>
      <c r="G44" s="165"/>
      <c r="H44" s="217">
        <f t="shared" si="2"/>
        <v>18</v>
      </c>
      <c r="I44" s="149"/>
    </row>
    <row r="45" spans="1:9" s="16" customFormat="1" ht="22.9" customHeight="1" x14ac:dyDescent="0.3">
      <c r="A45" s="162"/>
      <c r="B45" s="147" t="s">
        <v>292</v>
      </c>
      <c r="C45" s="215"/>
      <c r="D45" s="168"/>
      <c r="E45" s="168">
        <v>2.5</v>
      </c>
      <c r="F45" s="168">
        <f t="shared" si="5"/>
        <v>0</v>
      </c>
      <c r="G45" s="165"/>
      <c r="H45" s="217">
        <f t="shared" si="2"/>
        <v>2.5</v>
      </c>
      <c r="I45" s="149"/>
    </row>
    <row r="46" spans="1:9" s="16" customFormat="1" ht="22.9" customHeight="1" x14ac:dyDescent="0.3">
      <c r="A46" s="162"/>
      <c r="B46" s="147" t="s">
        <v>128</v>
      </c>
      <c r="C46" s="215">
        <v>700</v>
      </c>
      <c r="D46" s="168">
        <v>190</v>
      </c>
      <c r="E46" s="168">
        <v>56.997</v>
      </c>
      <c r="F46" s="229">
        <f t="shared" si="5"/>
        <v>-510</v>
      </c>
      <c r="G46" s="225">
        <f t="shared" si="0"/>
        <v>27.142857142857142</v>
      </c>
      <c r="H46" s="217">
        <f t="shared" si="2"/>
        <v>-133.00299999999999</v>
      </c>
      <c r="I46" s="149">
        <f t="shared" si="1"/>
        <v>29.998421052631581</v>
      </c>
    </row>
    <row r="47" spans="1:9" s="69" customFormat="1" ht="22.9" customHeight="1" x14ac:dyDescent="0.35">
      <c r="A47" s="142" t="s">
        <v>142</v>
      </c>
      <c r="B47" s="48" t="s">
        <v>129</v>
      </c>
      <c r="C47" s="232">
        <f>C48+C60+C66+C74+C75-1</f>
        <v>36918.5</v>
      </c>
      <c r="D47" s="233">
        <f>D48+D60+D66+D74+D75</f>
        <v>48594.3</v>
      </c>
      <c r="E47" s="233">
        <f>E48+E60+E66+E74+E75</f>
        <v>56906.628999999994</v>
      </c>
      <c r="F47" s="233">
        <f>F48+F60+F66+F74+F75+1</f>
        <v>11675.8</v>
      </c>
      <c r="G47" s="165">
        <f t="shared" si="0"/>
        <v>131.62587862453785</v>
      </c>
      <c r="H47" s="228">
        <f>H48+H60+H66+H74+H75</f>
        <v>8312.3290000000015</v>
      </c>
      <c r="I47" s="144">
        <f t="shared" si="1"/>
        <v>117.1055638212712</v>
      </c>
    </row>
    <row r="48" spans="1:9" s="69" customFormat="1" ht="22.9" customHeight="1" x14ac:dyDescent="0.35">
      <c r="A48" s="142" t="s">
        <v>30</v>
      </c>
      <c r="B48" s="48" t="s">
        <v>130</v>
      </c>
      <c r="C48" s="232">
        <f>SUM(C49:C59)</f>
        <v>18973</v>
      </c>
      <c r="D48" s="228">
        <f>SUM(D49:D59)</f>
        <v>26906.5</v>
      </c>
      <c r="E48" s="228">
        <f>SUM(E49:E59)</f>
        <v>31631.288999999993</v>
      </c>
      <c r="F48" s="228">
        <f>SUM(F49:F59)</f>
        <v>7933.5000000000009</v>
      </c>
      <c r="G48" s="165">
        <f t="shared" si="0"/>
        <v>141.81468402466663</v>
      </c>
      <c r="H48" s="228">
        <f>SUM(H49:H59)</f>
        <v>4724.7889999999998</v>
      </c>
      <c r="I48" s="144">
        <f t="shared" si="1"/>
        <v>117.56002824596285</v>
      </c>
    </row>
    <row r="49" spans="1:9" s="16" customFormat="1" ht="22.9" customHeight="1" x14ac:dyDescent="0.3">
      <c r="A49" s="162" t="s">
        <v>22</v>
      </c>
      <c r="B49" s="147" t="s">
        <v>308</v>
      </c>
      <c r="C49" s="215">
        <v>7394.5</v>
      </c>
      <c r="D49" s="217">
        <v>9560.2000000000007</v>
      </c>
      <c r="E49" s="217">
        <v>10881.384</v>
      </c>
      <c r="F49" s="217">
        <f>D49-C49</f>
        <v>2165.7000000000007</v>
      </c>
      <c r="G49" s="225">
        <f t="shared" si="0"/>
        <v>129.28798431266483</v>
      </c>
      <c r="H49" s="217">
        <f t="shared" si="2"/>
        <v>1321.1839999999993</v>
      </c>
      <c r="I49" s="149">
        <f t="shared" si="1"/>
        <v>113.81962720445178</v>
      </c>
    </row>
    <row r="50" spans="1:9" s="16" customFormat="1" ht="22.9" customHeight="1" x14ac:dyDescent="0.3">
      <c r="A50" s="162" t="s">
        <v>23</v>
      </c>
      <c r="B50" s="147" t="s">
        <v>131</v>
      </c>
      <c r="C50" s="215">
        <v>1165</v>
      </c>
      <c r="D50" s="217">
        <v>1642.3</v>
      </c>
      <c r="E50" s="217">
        <v>1990.191</v>
      </c>
      <c r="F50" s="217">
        <f t="shared" ref="F50:F59" si="6">D50-C50</f>
        <v>477.29999999999995</v>
      </c>
      <c r="G50" s="225">
        <f t="shared" si="0"/>
        <v>140.96995708154506</v>
      </c>
      <c r="H50" s="217">
        <f t="shared" si="2"/>
        <v>347.89100000000008</v>
      </c>
      <c r="I50" s="149">
        <f t="shared" si="1"/>
        <v>121.18315776654691</v>
      </c>
    </row>
    <row r="51" spans="1:9" s="16" customFormat="1" ht="22.9" customHeight="1" x14ac:dyDescent="0.3">
      <c r="A51" s="162" t="s">
        <v>118</v>
      </c>
      <c r="B51" s="147" t="s">
        <v>309</v>
      </c>
      <c r="C51" s="215">
        <v>995</v>
      </c>
      <c r="D51" s="217">
        <v>1194</v>
      </c>
      <c r="E51" s="217">
        <v>1364.12</v>
      </c>
      <c r="F51" s="217">
        <f t="shared" si="6"/>
        <v>199</v>
      </c>
      <c r="G51" s="225">
        <f t="shared" si="0"/>
        <v>120</v>
      </c>
      <c r="H51" s="217">
        <f t="shared" si="2"/>
        <v>170.11999999999989</v>
      </c>
      <c r="I51" s="149">
        <f t="shared" si="1"/>
        <v>114.24790619765493</v>
      </c>
    </row>
    <row r="52" spans="1:9" s="16" customFormat="1" ht="22.9" customHeight="1" x14ac:dyDescent="0.3">
      <c r="A52" s="162" t="s">
        <v>11</v>
      </c>
      <c r="B52" s="147" t="s">
        <v>132</v>
      </c>
      <c r="C52" s="215">
        <v>1537.5</v>
      </c>
      <c r="D52" s="217">
        <v>3830</v>
      </c>
      <c r="E52" s="217">
        <v>2233.17</v>
      </c>
      <c r="F52" s="217">
        <f t="shared" si="6"/>
        <v>2292.5</v>
      </c>
      <c r="G52" s="225">
        <f t="shared" si="0"/>
        <v>249.10569105691059</v>
      </c>
      <c r="H52" s="217">
        <f t="shared" si="2"/>
        <v>-1596.83</v>
      </c>
      <c r="I52" s="149">
        <f t="shared" si="1"/>
        <v>58.307310704960834</v>
      </c>
    </row>
    <row r="53" spans="1:9" s="16" customFormat="1" ht="22.9" customHeight="1" x14ac:dyDescent="0.3">
      <c r="A53" s="162" t="s">
        <v>18</v>
      </c>
      <c r="B53" s="147" t="s">
        <v>133</v>
      </c>
      <c r="C53" s="215">
        <v>837.5</v>
      </c>
      <c r="D53" s="217">
        <v>1279</v>
      </c>
      <c r="E53" s="217">
        <v>1478.3869999999999</v>
      </c>
      <c r="F53" s="217">
        <f t="shared" si="6"/>
        <v>441.5</v>
      </c>
      <c r="G53" s="225">
        <f t="shared" si="0"/>
        <v>152.71641791044777</v>
      </c>
      <c r="H53" s="217">
        <f t="shared" si="2"/>
        <v>199.38699999999994</v>
      </c>
      <c r="I53" s="149">
        <f t="shared" si="1"/>
        <v>115.5892885066458</v>
      </c>
    </row>
    <row r="54" spans="1:9" s="16" customFormat="1" ht="22.9" customHeight="1" x14ac:dyDescent="0.3">
      <c r="A54" s="162" t="s">
        <v>19</v>
      </c>
      <c r="B54" s="147" t="s">
        <v>310</v>
      </c>
      <c r="C54" s="215">
        <v>884</v>
      </c>
      <c r="D54" s="217">
        <v>963</v>
      </c>
      <c r="E54" s="217">
        <v>1090.9390000000001</v>
      </c>
      <c r="F54" s="217">
        <f t="shared" si="6"/>
        <v>79</v>
      </c>
      <c r="G54" s="225">
        <f t="shared" si="0"/>
        <v>108.9366515837104</v>
      </c>
      <c r="H54" s="217">
        <f t="shared" si="2"/>
        <v>127.93900000000008</v>
      </c>
      <c r="I54" s="149">
        <f t="shared" si="1"/>
        <v>113.28546209761163</v>
      </c>
    </row>
    <row r="55" spans="1:9" s="16" customFormat="1" ht="22.9" customHeight="1" x14ac:dyDescent="0.3">
      <c r="A55" s="162" t="s">
        <v>98</v>
      </c>
      <c r="B55" s="147" t="s">
        <v>134</v>
      </c>
      <c r="C55" s="215">
        <v>964</v>
      </c>
      <c r="D55" s="217">
        <v>1002</v>
      </c>
      <c r="E55" s="217">
        <v>1218.0550000000001</v>
      </c>
      <c r="F55" s="217">
        <f t="shared" si="6"/>
        <v>38</v>
      </c>
      <c r="G55" s="225">
        <f t="shared" si="0"/>
        <v>103.94190871369295</v>
      </c>
      <c r="H55" s="217">
        <f t="shared" si="2"/>
        <v>216.05500000000006</v>
      </c>
      <c r="I55" s="149">
        <f t="shared" si="1"/>
        <v>121.562375249501</v>
      </c>
    </row>
    <row r="56" spans="1:9" s="16" customFormat="1" ht="22.9" customHeight="1" x14ac:dyDescent="0.3">
      <c r="A56" s="162" t="s">
        <v>100</v>
      </c>
      <c r="B56" s="147" t="s">
        <v>135</v>
      </c>
      <c r="C56" s="215">
        <v>1827.5</v>
      </c>
      <c r="D56" s="217">
        <v>2530</v>
      </c>
      <c r="E56" s="217">
        <v>5982.4539999999997</v>
      </c>
      <c r="F56" s="217">
        <f t="shared" si="6"/>
        <v>702.5</v>
      </c>
      <c r="G56" s="225">
        <f t="shared" si="0"/>
        <v>138.44049247606017</v>
      </c>
      <c r="H56" s="217">
        <f t="shared" si="2"/>
        <v>3452.4539999999997</v>
      </c>
      <c r="I56" s="149">
        <f t="shared" si="1"/>
        <v>236.46063241106719</v>
      </c>
    </row>
    <row r="57" spans="1:9" s="16" customFormat="1" ht="22.9" customHeight="1" x14ac:dyDescent="0.3">
      <c r="A57" s="162" t="s">
        <v>102</v>
      </c>
      <c r="B57" s="147" t="s">
        <v>311</v>
      </c>
      <c r="C57" s="215">
        <v>1067</v>
      </c>
      <c r="D57" s="217">
        <v>2260</v>
      </c>
      <c r="E57" s="217">
        <v>2159.0120000000002</v>
      </c>
      <c r="F57" s="217">
        <f t="shared" si="6"/>
        <v>1193</v>
      </c>
      <c r="G57" s="225">
        <f t="shared" si="0"/>
        <v>211.80880974695407</v>
      </c>
      <c r="H57" s="217">
        <f t="shared" si="2"/>
        <v>-100.98799999999983</v>
      </c>
      <c r="I57" s="149">
        <f t="shared" si="1"/>
        <v>95.531504424778774</v>
      </c>
    </row>
    <row r="58" spans="1:9" s="16" customFormat="1" ht="22.9" customHeight="1" x14ac:dyDescent="0.3">
      <c r="A58" s="162" t="s">
        <v>104</v>
      </c>
      <c r="B58" s="147" t="s">
        <v>136</v>
      </c>
      <c r="C58" s="215">
        <v>1245.5</v>
      </c>
      <c r="D58" s="217">
        <v>1419</v>
      </c>
      <c r="E58" s="217">
        <f>5534.642-E80</f>
        <v>1640.6879999999996</v>
      </c>
      <c r="F58" s="217">
        <f t="shared" si="6"/>
        <v>173.5</v>
      </c>
      <c r="G58" s="225">
        <f t="shared" si="0"/>
        <v>113.93014853472501</v>
      </c>
      <c r="H58" s="217">
        <f t="shared" si="2"/>
        <v>221.68799999999965</v>
      </c>
      <c r="I58" s="149">
        <f t="shared" si="1"/>
        <v>115.62283298097249</v>
      </c>
    </row>
    <row r="59" spans="1:9" s="16" customFormat="1" ht="22.9" customHeight="1" x14ac:dyDescent="0.3">
      <c r="A59" s="162" t="s">
        <v>105</v>
      </c>
      <c r="B59" s="147" t="s">
        <v>312</v>
      </c>
      <c r="C59" s="215">
        <v>1055.5</v>
      </c>
      <c r="D59" s="217">
        <v>1227</v>
      </c>
      <c r="E59" s="217">
        <v>1592.8889999999999</v>
      </c>
      <c r="F59" s="217">
        <f t="shared" si="6"/>
        <v>171.5</v>
      </c>
      <c r="G59" s="225">
        <f t="shared" si="0"/>
        <v>116.2482235907153</v>
      </c>
      <c r="H59" s="217">
        <f t="shared" si="2"/>
        <v>365.8889999999999</v>
      </c>
      <c r="I59" s="149">
        <f t="shared" si="1"/>
        <v>129.81980440097797</v>
      </c>
    </row>
    <row r="60" spans="1:9" s="69" customFormat="1" ht="22.9" customHeight="1" x14ac:dyDescent="0.35">
      <c r="A60" s="142" t="s">
        <v>75</v>
      </c>
      <c r="B60" s="48" t="s">
        <v>137</v>
      </c>
      <c r="C60" s="232">
        <f>SUM(C61:C65)</f>
        <v>4011.5</v>
      </c>
      <c r="D60" s="228">
        <f>SUM(D61:D65)</f>
        <v>5215</v>
      </c>
      <c r="E60" s="233">
        <f>SUM(E61:E65)</f>
        <v>6463.0810000000001</v>
      </c>
      <c r="F60" s="233">
        <f>SUM(F61:F65)</f>
        <v>1203.5</v>
      </c>
      <c r="G60" s="165">
        <f t="shared" si="0"/>
        <v>130.00124641655242</v>
      </c>
      <c r="H60" s="228">
        <f>SUM(H61:H65)</f>
        <v>1248.0810000000001</v>
      </c>
      <c r="I60" s="144">
        <f t="shared" si="1"/>
        <v>123.93252157238734</v>
      </c>
    </row>
    <row r="61" spans="1:9" s="16" customFormat="1" ht="22.9" customHeight="1" x14ac:dyDescent="0.3">
      <c r="A61" s="162" t="s">
        <v>22</v>
      </c>
      <c r="B61" s="147" t="s">
        <v>313</v>
      </c>
      <c r="C61" s="215">
        <v>873</v>
      </c>
      <c r="D61" s="217">
        <v>1201</v>
      </c>
      <c r="E61" s="217">
        <v>1435.162</v>
      </c>
      <c r="F61" s="217">
        <f>D61-C61</f>
        <v>328</v>
      </c>
      <c r="G61" s="225">
        <f t="shared" si="0"/>
        <v>137.57159221076748</v>
      </c>
      <c r="H61" s="217">
        <f t="shared" si="2"/>
        <v>234.16200000000003</v>
      </c>
      <c r="I61" s="149">
        <f t="shared" si="1"/>
        <v>119.49725228975853</v>
      </c>
    </row>
    <row r="62" spans="1:9" s="16" customFormat="1" ht="22.9" customHeight="1" x14ac:dyDescent="0.3">
      <c r="A62" s="162" t="s">
        <v>23</v>
      </c>
      <c r="B62" s="147" t="s">
        <v>138</v>
      </c>
      <c r="C62" s="215">
        <v>864</v>
      </c>
      <c r="D62" s="217">
        <v>1136</v>
      </c>
      <c r="E62" s="217">
        <v>1281.547</v>
      </c>
      <c r="F62" s="217">
        <f>D62-C62</f>
        <v>272</v>
      </c>
      <c r="G62" s="225">
        <f t="shared" si="0"/>
        <v>131.4814814814815</v>
      </c>
      <c r="H62" s="217">
        <f t="shared" si="2"/>
        <v>145.54700000000003</v>
      </c>
      <c r="I62" s="149">
        <f t="shared" si="1"/>
        <v>112.81223591549296</v>
      </c>
    </row>
    <row r="63" spans="1:9" s="16" customFormat="1" ht="22.9" customHeight="1" x14ac:dyDescent="0.3">
      <c r="A63" s="162" t="s">
        <v>118</v>
      </c>
      <c r="B63" s="147" t="s">
        <v>139</v>
      </c>
      <c r="C63" s="215">
        <v>903.5</v>
      </c>
      <c r="D63" s="217">
        <v>932</v>
      </c>
      <c r="E63" s="217">
        <v>1082.8599999999999</v>
      </c>
      <c r="F63" s="217">
        <f>D63-C63</f>
        <v>28.5</v>
      </c>
      <c r="G63" s="225">
        <f t="shared" si="0"/>
        <v>103.15439955727726</v>
      </c>
      <c r="H63" s="217">
        <f t="shared" si="2"/>
        <v>150.8599999999999</v>
      </c>
      <c r="I63" s="149">
        <f t="shared" si="1"/>
        <v>116.18669527896995</v>
      </c>
    </row>
    <row r="64" spans="1:9" s="16" customFormat="1" ht="22.9" customHeight="1" x14ac:dyDescent="0.3">
      <c r="A64" s="162" t="s">
        <v>11</v>
      </c>
      <c r="B64" s="147" t="s">
        <v>140</v>
      </c>
      <c r="C64" s="215">
        <v>862</v>
      </c>
      <c r="D64" s="217">
        <v>1292</v>
      </c>
      <c r="E64" s="217">
        <v>1949.979</v>
      </c>
      <c r="F64" s="217">
        <f>D64-C64</f>
        <v>430</v>
      </c>
      <c r="G64" s="225">
        <f t="shared" si="0"/>
        <v>149.88399071925753</v>
      </c>
      <c r="H64" s="217">
        <f t="shared" si="2"/>
        <v>657.97900000000004</v>
      </c>
      <c r="I64" s="149">
        <f t="shared" si="1"/>
        <v>150.92716718266254</v>
      </c>
    </row>
    <row r="65" spans="1:9" s="16" customFormat="1" ht="22.9" customHeight="1" x14ac:dyDescent="0.3">
      <c r="A65" s="162" t="s">
        <v>18</v>
      </c>
      <c r="B65" s="147" t="s">
        <v>141</v>
      </c>
      <c r="C65" s="215">
        <v>509</v>
      </c>
      <c r="D65" s="217">
        <v>654</v>
      </c>
      <c r="E65" s="217">
        <v>713.53300000000002</v>
      </c>
      <c r="F65" s="217">
        <f>D65-C65</f>
        <v>145</v>
      </c>
      <c r="G65" s="225">
        <f t="shared" si="0"/>
        <v>128.48722986247546</v>
      </c>
      <c r="H65" s="217">
        <f t="shared" si="2"/>
        <v>59.533000000000015</v>
      </c>
      <c r="I65" s="149">
        <f t="shared" si="1"/>
        <v>109.10290519877677</v>
      </c>
    </row>
    <row r="66" spans="1:9" s="69" customFormat="1" ht="22.9" customHeight="1" x14ac:dyDescent="0.35">
      <c r="A66" s="142" t="s">
        <v>76</v>
      </c>
      <c r="B66" s="48" t="s">
        <v>143</v>
      </c>
      <c r="C66" s="232">
        <f>SUM(C67:C73)</f>
        <v>1358</v>
      </c>
      <c r="D66" s="228">
        <f>SUM(D67:D73)</f>
        <v>1465.8</v>
      </c>
      <c r="E66" s="228">
        <f>SUM(E67:E73)</f>
        <v>1640.9179999999999</v>
      </c>
      <c r="F66" s="228">
        <f>SUM(F67:F73)</f>
        <v>107.80000000000001</v>
      </c>
      <c r="G66" s="165">
        <f t="shared" si="0"/>
        <v>107.9381443298969</v>
      </c>
      <c r="H66" s="228">
        <f>SUM(H67:H73)</f>
        <v>175.11800000000002</v>
      </c>
      <c r="I66" s="144">
        <f t="shared" si="1"/>
        <v>111.94692318188019</v>
      </c>
    </row>
    <row r="67" spans="1:9" s="16" customFormat="1" ht="22.9" customHeight="1" x14ac:dyDescent="0.3">
      <c r="A67" s="162" t="s">
        <v>22</v>
      </c>
      <c r="B67" s="147" t="s">
        <v>314</v>
      </c>
      <c r="C67" s="215">
        <v>266.5</v>
      </c>
      <c r="D67" s="163">
        <v>322</v>
      </c>
      <c r="E67" s="163">
        <v>390.96</v>
      </c>
      <c r="F67" s="163">
        <f>D67-C67</f>
        <v>55.5</v>
      </c>
      <c r="G67" s="225">
        <f t="shared" si="0"/>
        <v>120.82551594746718</v>
      </c>
      <c r="H67" s="217">
        <f t="shared" si="2"/>
        <v>68.95999999999998</v>
      </c>
      <c r="I67" s="149">
        <f t="shared" si="1"/>
        <v>121.41614906832297</v>
      </c>
    </row>
    <row r="68" spans="1:9" s="16" customFormat="1" ht="22.9" customHeight="1" x14ac:dyDescent="0.3">
      <c r="A68" s="162" t="s">
        <v>23</v>
      </c>
      <c r="B68" s="147" t="s">
        <v>315</v>
      </c>
      <c r="C68" s="215">
        <v>65</v>
      </c>
      <c r="D68" s="163">
        <v>65</v>
      </c>
      <c r="E68" s="163">
        <v>43.244</v>
      </c>
      <c r="F68" s="163">
        <f t="shared" ref="F68:F73" si="7">D68-C68</f>
        <v>0</v>
      </c>
      <c r="G68" s="225">
        <f t="shared" si="0"/>
        <v>100</v>
      </c>
      <c r="H68" s="217">
        <f t="shared" si="2"/>
        <v>-21.756</v>
      </c>
      <c r="I68" s="149">
        <f t="shared" si="1"/>
        <v>66.529230769230779</v>
      </c>
    </row>
    <row r="69" spans="1:9" s="16" customFormat="1" ht="22.9" customHeight="1" x14ac:dyDescent="0.3">
      <c r="A69" s="162" t="s">
        <v>118</v>
      </c>
      <c r="B69" s="147" t="s">
        <v>316</v>
      </c>
      <c r="C69" s="215">
        <v>704</v>
      </c>
      <c r="D69" s="163">
        <v>709</v>
      </c>
      <c r="E69" s="163">
        <v>793.57</v>
      </c>
      <c r="F69" s="163">
        <f t="shared" si="7"/>
        <v>5</v>
      </c>
      <c r="G69" s="225">
        <f t="shared" si="0"/>
        <v>100.71022727272727</v>
      </c>
      <c r="H69" s="217">
        <f t="shared" si="2"/>
        <v>84.57000000000005</v>
      </c>
      <c r="I69" s="149">
        <f t="shared" si="1"/>
        <v>111.92806770098731</v>
      </c>
    </row>
    <row r="70" spans="1:9" s="16" customFormat="1" ht="22.9" customHeight="1" x14ac:dyDescent="0.3">
      <c r="A70" s="162" t="s">
        <v>11</v>
      </c>
      <c r="B70" s="147" t="s">
        <v>144</v>
      </c>
      <c r="C70" s="215">
        <v>51</v>
      </c>
      <c r="D70" s="163">
        <v>97</v>
      </c>
      <c r="E70" s="163">
        <v>97.444000000000003</v>
      </c>
      <c r="F70" s="163">
        <f t="shared" si="7"/>
        <v>46</v>
      </c>
      <c r="G70" s="225">
        <f t="shared" si="0"/>
        <v>190.19607843137254</v>
      </c>
      <c r="H70" s="217">
        <f>E70-D70</f>
        <v>0.44400000000000261</v>
      </c>
      <c r="I70" s="149">
        <f t="shared" si="1"/>
        <v>100.45773195876289</v>
      </c>
    </row>
    <row r="71" spans="1:9" s="16" customFormat="1" ht="22.9" customHeight="1" x14ac:dyDescent="0.3">
      <c r="A71" s="162" t="s">
        <v>18</v>
      </c>
      <c r="B71" s="147" t="s">
        <v>145</v>
      </c>
      <c r="C71" s="215">
        <v>1</v>
      </c>
      <c r="D71" s="163">
        <v>0</v>
      </c>
      <c r="E71" s="163">
        <v>0</v>
      </c>
      <c r="F71" s="227">
        <f t="shared" si="7"/>
        <v>-1</v>
      </c>
      <c r="G71" s="225">
        <f t="shared" si="0"/>
        <v>0</v>
      </c>
      <c r="H71" s="217">
        <f>E71-D71</f>
        <v>0</v>
      </c>
      <c r="I71" s="149">
        <v>0</v>
      </c>
    </row>
    <row r="72" spans="1:9" s="16" customFormat="1" ht="22.9" customHeight="1" x14ac:dyDescent="0.3">
      <c r="A72" s="162" t="s">
        <v>19</v>
      </c>
      <c r="B72" s="147" t="s">
        <v>263</v>
      </c>
      <c r="C72" s="215">
        <v>31</v>
      </c>
      <c r="D72" s="168">
        <v>32</v>
      </c>
      <c r="E72" s="168">
        <v>37.9</v>
      </c>
      <c r="F72" s="163">
        <f t="shared" si="7"/>
        <v>1</v>
      </c>
      <c r="G72" s="225">
        <f t="shared" si="0"/>
        <v>103.2258064516129</v>
      </c>
      <c r="H72" s="217">
        <f t="shared" si="2"/>
        <v>5.8999999999999986</v>
      </c>
      <c r="I72" s="149">
        <f t="shared" si="1"/>
        <v>118.4375</v>
      </c>
    </row>
    <row r="73" spans="1:9" s="16" customFormat="1" ht="22.9" customHeight="1" x14ac:dyDescent="0.3">
      <c r="A73" s="162" t="s">
        <v>98</v>
      </c>
      <c r="B73" s="147" t="s">
        <v>317</v>
      </c>
      <c r="C73" s="215">
        <v>239.5</v>
      </c>
      <c r="D73" s="168">
        <v>240.8</v>
      </c>
      <c r="E73" s="168">
        <v>277.8</v>
      </c>
      <c r="F73" s="163">
        <f t="shared" si="7"/>
        <v>1.3000000000000114</v>
      </c>
      <c r="G73" s="225">
        <f t="shared" si="0"/>
        <v>100.54279749478079</v>
      </c>
      <c r="H73" s="217">
        <f t="shared" si="2"/>
        <v>37</v>
      </c>
      <c r="I73" s="149">
        <f t="shared" si="1"/>
        <v>115.36544850498338</v>
      </c>
    </row>
    <row r="74" spans="1:9" s="69" customFormat="1" ht="22.9" customHeight="1" x14ac:dyDescent="0.35">
      <c r="A74" s="142" t="s">
        <v>150</v>
      </c>
      <c r="B74" s="48" t="s">
        <v>147</v>
      </c>
      <c r="C74" s="154">
        <v>11471</v>
      </c>
      <c r="D74" s="212">
        <v>13389</v>
      </c>
      <c r="E74" s="212">
        <v>15359.404</v>
      </c>
      <c r="F74" s="212">
        <f>D74-C74</f>
        <v>1918</v>
      </c>
      <c r="G74" s="165">
        <f t="shared" si="0"/>
        <v>116.72042542062593</v>
      </c>
      <c r="H74" s="212">
        <f t="shared" si="2"/>
        <v>1970.4040000000005</v>
      </c>
      <c r="I74" s="144">
        <f t="shared" si="1"/>
        <v>114.71658824408098</v>
      </c>
    </row>
    <row r="75" spans="1:9" s="69" customFormat="1" ht="22.9" customHeight="1" x14ac:dyDescent="0.35">
      <c r="A75" s="142" t="s">
        <v>154</v>
      </c>
      <c r="B75" s="48" t="s">
        <v>149</v>
      </c>
      <c r="C75" s="154">
        <v>1106</v>
      </c>
      <c r="D75" s="212">
        <v>1618</v>
      </c>
      <c r="E75" s="212">
        <v>1811.9369999999999</v>
      </c>
      <c r="F75" s="212">
        <f>D75-C75</f>
        <v>512</v>
      </c>
      <c r="G75" s="165">
        <f t="shared" si="0"/>
        <v>146.29294755877032</v>
      </c>
      <c r="H75" s="212">
        <f t="shared" si="2"/>
        <v>193.9369999999999</v>
      </c>
      <c r="I75" s="144">
        <f t="shared" si="1"/>
        <v>111.986217552534</v>
      </c>
    </row>
    <row r="76" spans="1:9" s="69" customFormat="1" ht="22.9" customHeight="1" x14ac:dyDescent="0.35">
      <c r="A76" s="142" t="s">
        <v>146</v>
      </c>
      <c r="B76" s="48" t="s">
        <v>151</v>
      </c>
      <c r="C76" s="228">
        <f>SUM(C77:C78)</f>
        <v>5572</v>
      </c>
      <c r="D76" s="228">
        <f>SUM(D77:D78)</f>
        <v>14932</v>
      </c>
      <c r="E76" s="233">
        <f>SUM(E77:E78)</f>
        <v>22190.335000000003</v>
      </c>
      <c r="F76" s="233">
        <f>SUM(F77:F78)</f>
        <v>9360</v>
      </c>
      <c r="G76" s="165">
        <f t="shared" si="0"/>
        <v>267.98277099784633</v>
      </c>
      <c r="H76" s="212">
        <f t="shared" si="2"/>
        <v>7258.3350000000028</v>
      </c>
      <c r="I76" s="144">
        <f t="shared" si="1"/>
        <v>148.60926198767748</v>
      </c>
    </row>
    <row r="77" spans="1:9" s="16" customFormat="1" ht="22.9" customHeight="1" x14ac:dyDescent="0.3">
      <c r="A77" s="162" t="s">
        <v>22</v>
      </c>
      <c r="B77" s="147" t="s">
        <v>152</v>
      </c>
      <c r="C77" s="215">
        <v>322</v>
      </c>
      <c r="D77" s="217">
        <v>847</v>
      </c>
      <c r="E77" s="217">
        <v>1294.7750000000001</v>
      </c>
      <c r="F77" s="217">
        <f>D77-C77</f>
        <v>525</v>
      </c>
      <c r="G77" s="225">
        <f>D77/C77*100</f>
        <v>263.04347826086956</v>
      </c>
      <c r="H77" s="217">
        <f>E77-D77</f>
        <v>447.77500000000009</v>
      </c>
      <c r="I77" s="149">
        <f t="shared" si="1"/>
        <v>152.86599763872493</v>
      </c>
    </row>
    <row r="78" spans="1:9" s="16" customFormat="1" ht="22.9" customHeight="1" x14ac:dyDescent="0.3">
      <c r="A78" s="162" t="s">
        <v>23</v>
      </c>
      <c r="B78" s="147" t="s">
        <v>153</v>
      </c>
      <c r="C78" s="215">
        <v>5250</v>
      </c>
      <c r="D78" s="217">
        <v>14085</v>
      </c>
      <c r="E78" s="217">
        <v>20895.560000000001</v>
      </c>
      <c r="F78" s="217">
        <f>D78-C78</f>
        <v>8835</v>
      </c>
      <c r="G78" s="225">
        <f>D78/C78*100</f>
        <v>268.28571428571428</v>
      </c>
      <c r="H78" s="217">
        <f t="shared" si="2"/>
        <v>6810.5600000000013</v>
      </c>
      <c r="I78" s="149">
        <f t="shared" si="1"/>
        <v>148.35328363507278</v>
      </c>
    </row>
    <row r="79" spans="1:9" s="69" customFormat="1" ht="22.9" customHeight="1" x14ac:dyDescent="0.35">
      <c r="A79" s="142" t="s">
        <v>148</v>
      </c>
      <c r="B79" s="48" t="s">
        <v>155</v>
      </c>
      <c r="C79" s="154">
        <v>18900</v>
      </c>
      <c r="D79" s="164">
        <v>7736</v>
      </c>
      <c r="E79" s="164">
        <v>1605.194</v>
      </c>
      <c r="F79" s="224">
        <f>D79-C79</f>
        <v>-11164</v>
      </c>
      <c r="G79" s="165">
        <f>D79/C79*100</f>
        <v>40.93121693121693</v>
      </c>
      <c r="H79" s="212">
        <f t="shared" si="2"/>
        <v>-6130.8060000000005</v>
      </c>
      <c r="I79" s="144">
        <f t="shared" si="1"/>
        <v>20.749663908996897</v>
      </c>
    </row>
    <row r="80" spans="1:9" s="69" customFormat="1" ht="22.9" customHeight="1" x14ac:dyDescent="0.35">
      <c r="A80" s="142" t="s">
        <v>159</v>
      </c>
      <c r="B80" s="48" t="s">
        <v>156</v>
      </c>
      <c r="C80" s="154">
        <v>3800</v>
      </c>
      <c r="D80" s="233">
        <v>3800</v>
      </c>
      <c r="E80" s="233">
        <v>3893.9540000000002</v>
      </c>
      <c r="F80" s="164">
        <f>D80-C80</f>
        <v>0</v>
      </c>
      <c r="G80" s="165">
        <f>D80/C80*100</f>
        <v>100</v>
      </c>
      <c r="H80" s="212">
        <f t="shared" si="2"/>
        <v>93.954000000000178</v>
      </c>
      <c r="I80" s="144">
        <f t="shared" si="1"/>
        <v>102.47247368421053</v>
      </c>
    </row>
    <row r="81" spans="1:9" s="69" customFormat="1" ht="22.9" customHeight="1" x14ac:dyDescent="0.35">
      <c r="A81" s="142" t="s">
        <v>160</v>
      </c>
      <c r="B81" s="48" t="s">
        <v>157</v>
      </c>
      <c r="C81" s="154">
        <v>11780</v>
      </c>
      <c r="D81" s="212">
        <v>5793</v>
      </c>
      <c r="E81" s="212">
        <v>678.94</v>
      </c>
      <c r="F81" s="224">
        <f>D81-C81</f>
        <v>-5987</v>
      </c>
      <c r="G81" s="165">
        <f>D81/C81*100</f>
        <v>49.176570458404072</v>
      </c>
      <c r="H81" s="212">
        <f t="shared" si="2"/>
        <v>-5114.0599999999995</v>
      </c>
      <c r="I81" s="144">
        <f t="shared" si="1"/>
        <v>11.720006904885208</v>
      </c>
    </row>
    <row r="82" spans="1:9" ht="18" customHeight="1" x14ac:dyDescent="0.3">
      <c r="E82" s="42"/>
      <c r="F82" s="42"/>
      <c r="G82" s="42"/>
      <c r="H82" s="42"/>
    </row>
    <row r="83" spans="1:9" ht="18" customHeight="1" x14ac:dyDescent="0.3">
      <c r="E83" s="43"/>
      <c r="F83" s="43"/>
      <c r="G83" s="43"/>
      <c r="H83" s="42"/>
    </row>
    <row r="84" spans="1:9" ht="18" customHeight="1" x14ac:dyDescent="0.3">
      <c r="E84" s="44"/>
      <c r="F84" s="44"/>
      <c r="G84" s="44"/>
      <c r="H84" s="42"/>
    </row>
    <row r="85" spans="1:9" ht="18" customHeight="1" x14ac:dyDescent="0.3">
      <c r="E85" s="44"/>
      <c r="F85" s="44"/>
      <c r="G85" s="44"/>
      <c r="H85" s="42"/>
    </row>
    <row r="86" spans="1:9" ht="18" customHeight="1" x14ac:dyDescent="0.3">
      <c r="E86" s="45"/>
      <c r="F86" s="45"/>
      <c r="G86" s="45"/>
      <c r="H86" s="42"/>
    </row>
    <row r="87" spans="1:9" ht="18" customHeight="1" x14ac:dyDescent="0.3">
      <c r="E87" s="45"/>
      <c r="F87" s="45"/>
      <c r="G87" s="45"/>
      <c r="H87" s="42"/>
    </row>
    <row r="88" spans="1:9" ht="18" customHeight="1" x14ac:dyDescent="0.3">
      <c r="E88" s="42"/>
      <c r="F88" s="42"/>
      <c r="G88" s="42"/>
      <c r="H88" s="42"/>
    </row>
    <row r="89" spans="1:9" ht="18" customHeight="1" x14ac:dyDescent="0.3">
      <c r="E89" s="42"/>
      <c r="F89" s="42"/>
      <c r="G89" s="42"/>
      <c r="H89" s="42"/>
    </row>
    <row r="90" spans="1:9" ht="18" customHeight="1" x14ac:dyDescent="0.3">
      <c r="E90" s="42"/>
      <c r="F90" s="42"/>
      <c r="G90" s="42"/>
      <c r="H90" s="42"/>
    </row>
    <row r="91" spans="1:9" ht="18" customHeight="1" x14ac:dyDescent="0.3">
      <c r="E91" s="42"/>
      <c r="F91" s="42"/>
      <c r="G91" s="42"/>
      <c r="H91" s="42"/>
    </row>
    <row r="92" spans="1:9" ht="18" customHeight="1" x14ac:dyDescent="0.3">
      <c r="E92" s="42"/>
      <c r="F92" s="42"/>
      <c r="G92" s="42"/>
      <c r="H92" s="42"/>
    </row>
    <row r="93" spans="1:9" ht="18" customHeight="1" x14ac:dyDescent="0.3">
      <c r="E93" s="42"/>
      <c r="F93" s="42"/>
      <c r="G93" s="42"/>
      <c r="H93" s="42"/>
    </row>
    <row r="94" spans="1:9" ht="18" customHeight="1" x14ac:dyDescent="0.3">
      <c r="E94" s="42"/>
      <c r="F94" s="42"/>
      <c r="G94" s="42"/>
      <c r="H94" s="42"/>
    </row>
    <row r="95" spans="1:9" ht="18" customHeight="1" x14ac:dyDescent="0.3">
      <c r="E95" s="42"/>
      <c r="F95" s="42"/>
      <c r="G95" s="42"/>
      <c r="H95" s="42"/>
    </row>
    <row r="96" spans="1:9" ht="18" customHeight="1" x14ac:dyDescent="0.3">
      <c r="E96" s="42"/>
      <c r="F96" s="42"/>
      <c r="G96" s="42"/>
      <c r="H96" s="42"/>
    </row>
    <row r="97" spans="5:8" ht="18" customHeight="1" x14ac:dyDescent="0.3">
      <c r="E97" s="42"/>
      <c r="F97" s="42"/>
      <c r="G97" s="42"/>
      <c r="H97" s="42"/>
    </row>
    <row r="98" spans="5:8" ht="18" customHeight="1" x14ac:dyDescent="0.3">
      <c r="E98" s="42"/>
      <c r="F98" s="42"/>
      <c r="G98" s="42"/>
      <c r="H98" s="42"/>
    </row>
    <row r="99" spans="5:8" ht="18" customHeight="1" x14ac:dyDescent="0.3">
      <c r="E99" s="42"/>
      <c r="F99" s="42"/>
      <c r="G99" s="42"/>
      <c r="H99" s="42"/>
    </row>
    <row r="100" spans="5:8" ht="18" customHeight="1" x14ac:dyDescent="0.3">
      <c r="E100" s="42"/>
      <c r="F100" s="42"/>
      <c r="G100" s="42"/>
      <c r="H100" s="42"/>
    </row>
    <row r="101" spans="5:8" ht="18" customHeight="1" x14ac:dyDescent="0.3">
      <c r="E101" s="42"/>
      <c r="F101" s="42"/>
      <c r="G101" s="42"/>
      <c r="H101" s="42"/>
    </row>
    <row r="102" spans="5:8" ht="18" customHeight="1" x14ac:dyDescent="0.3">
      <c r="E102" s="42"/>
      <c r="F102" s="42"/>
      <c r="G102" s="42"/>
      <c r="H102" s="42"/>
    </row>
    <row r="103" spans="5:8" ht="18" customHeight="1" x14ac:dyDescent="0.3">
      <c r="E103" s="42"/>
      <c r="F103" s="42"/>
      <c r="G103" s="42"/>
      <c r="H103" s="42"/>
    </row>
    <row r="104" spans="5:8" ht="18" customHeight="1" x14ac:dyDescent="0.3">
      <c r="E104" s="42"/>
      <c r="F104" s="42"/>
      <c r="G104" s="42"/>
      <c r="H104" s="42"/>
    </row>
    <row r="105" spans="5:8" ht="18" customHeight="1" x14ac:dyDescent="0.3">
      <c r="E105" s="42"/>
      <c r="F105" s="42"/>
      <c r="G105" s="42"/>
      <c r="H105" s="42"/>
    </row>
    <row r="106" spans="5:8" ht="18" customHeight="1" x14ac:dyDescent="0.3">
      <c r="E106" s="42"/>
      <c r="F106" s="42"/>
      <c r="G106" s="42"/>
      <c r="H106" s="42"/>
    </row>
    <row r="107" spans="5:8" ht="18" customHeight="1" x14ac:dyDescent="0.3">
      <c r="E107" s="42"/>
      <c r="F107" s="42"/>
      <c r="G107" s="42"/>
      <c r="H107" s="42"/>
    </row>
    <row r="108" spans="5:8" ht="18" customHeight="1" x14ac:dyDescent="0.3">
      <c r="E108" s="42"/>
      <c r="F108" s="42"/>
      <c r="G108" s="42"/>
      <c r="H108" s="42"/>
    </row>
    <row r="109" spans="5:8" ht="18" customHeight="1" x14ac:dyDescent="0.3">
      <c r="E109" s="42"/>
      <c r="F109" s="42"/>
      <c r="G109" s="42"/>
      <c r="H109" s="42"/>
    </row>
    <row r="110" spans="5:8" ht="18" customHeight="1" x14ac:dyDescent="0.3">
      <c r="E110" s="42"/>
      <c r="F110" s="42"/>
      <c r="G110" s="42"/>
      <c r="H110" s="42"/>
    </row>
    <row r="111" spans="5:8" ht="18" customHeight="1" x14ac:dyDescent="0.3">
      <c r="E111" s="42"/>
      <c r="F111" s="42"/>
      <c r="G111" s="42"/>
      <c r="H111" s="42"/>
    </row>
    <row r="112" spans="5:8" ht="18" customHeight="1" x14ac:dyDescent="0.3">
      <c r="E112" s="42"/>
      <c r="F112" s="42"/>
      <c r="G112" s="42"/>
      <c r="H112" s="42"/>
    </row>
    <row r="113" spans="5:8" ht="18" customHeight="1" x14ac:dyDescent="0.3">
      <c r="E113" s="42"/>
      <c r="F113" s="42"/>
      <c r="G113" s="42"/>
      <c r="H113" s="42"/>
    </row>
    <row r="114" spans="5:8" ht="18" customHeight="1" x14ac:dyDescent="0.3">
      <c r="E114" s="42"/>
      <c r="F114" s="42"/>
      <c r="G114" s="42"/>
      <c r="H114" s="42"/>
    </row>
    <row r="115" spans="5:8" ht="18" customHeight="1" x14ac:dyDescent="0.3">
      <c r="E115" s="42"/>
      <c r="F115" s="42"/>
      <c r="G115" s="42"/>
      <c r="H115" s="42"/>
    </row>
    <row r="116" spans="5:8" ht="18" customHeight="1" x14ac:dyDescent="0.3">
      <c r="E116" s="42"/>
      <c r="F116" s="42"/>
      <c r="G116" s="42"/>
      <c r="H116" s="42"/>
    </row>
    <row r="117" spans="5:8" ht="18" customHeight="1" x14ac:dyDescent="0.3">
      <c r="E117" s="42"/>
      <c r="F117" s="42"/>
      <c r="G117" s="42"/>
      <c r="H117" s="42"/>
    </row>
    <row r="118" spans="5:8" ht="18" customHeight="1" x14ac:dyDescent="0.3">
      <c r="E118" s="42"/>
      <c r="F118" s="42"/>
      <c r="G118" s="42"/>
      <c r="H118" s="42"/>
    </row>
    <row r="119" spans="5:8" ht="18" customHeight="1" x14ac:dyDescent="0.3">
      <c r="E119" s="42"/>
      <c r="F119" s="42"/>
      <c r="G119" s="42"/>
      <c r="H119" s="42"/>
    </row>
    <row r="120" spans="5:8" ht="18" customHeight="1" x14ac:dyDescent="0.3">
      <c r="E120" s="42"/>
      <c r="F120" s="42"/>
      <c r="G120" s="42"/>
      <c r="H120" s="42"/>
    </row>
    <row r="121" spans="5:8" ht="18" customHeight="1" x14ac:dyDescent="0.3">
      <c r="E121" s="42"/>
      <c r="F121" s="42"/>
      <c r="G121" s="42"/>
      <c r="H121" s="42"/>
    </row>
    <row r="122" spans="5:8" ht="18" customHeight="1" x14ac:dyDescent="0.3">
      <c r="E122" s="42"/>
      <c r="F122" s="42"/>
      <c r="G122" s="42"/>
      <c r="H122" s="42"/>
    </row>
    <row r="123" spans="5:8" ht="18" customHeight="1" x14ac:dyDescent="0.3">
      <c r="E123" s="42"/>
      <c r="F123" s="42"/>
      <c r="G123" s="42"/>
      <c r="H123" s="42"/>
    </row>
    <row r="124" spans="5:8" ht="18" customHeight="1" x14ac:dyDescent="0.3">
      <c r="E124" s="42"/>
      <c r="F124" s="42"/>
      <c r="G124" s="42"/>
      <c r="H124" s="42"/>
    </row>
    <row r="125" spans="5:8" ht="18" customHeight="1" x14ac:dyDescent="0.3">
      <c r="E125" s="42"/>
      <c r="F125" s="42"/>
      <c r="G125" s="42"/>
      <c r="H125" s="42"/>
    </row>
    <row r="126" spans="5:8" ht="18" customHeight="1" x14ac:dyDescent="0.3">
      <c r="E126" s="42"/>
      <c r="F126" s="42"/>
      <c r="G126" s="42"/>
      <c r="H126" s="42"/>
    </row>
    <row r="127" spans="5:8" ht="18" customHeight="1" x14ac:dyDescent="0.3"/>
    <row r="128" spans="5:8" ht="18" customHeight="1" x14ac:dyDescent="0.3"/>
    <row r="129" ht="18" customHeight="1" x14ac:dyDescent="0.3"/>
    <row r="130" ht="18" customHeight="1" x14ac:dyDescent="0.3"/>
    <row r="131" ht="18" customHeight="1" x14ac:dyDescent="0.3"/>
    <row r="132" ht="18" customHeight="1" x14ac:dyDescent="0.3"/>
    <row r="133" ht="18" customHeight="1" x14ac:dyDescent="0.3"/>
    <row r="134" ht="18" customHeight="1" x14ac:dyDescent="0.3"/>
    <row r="135" ht="18" customHeight="1" x14ac:dyDescent="0.3"/>
    <row r="136" ht="18" customHeight="1" x14ac:dyDescent="0.3"/>
    <row r="137" ht="18" customHeight="1" x14ac:dyDescent="0.3"/>
    <row r="138" ht="18" customHeight="1" x14ac:dyDescent="0.3"/>
    <row r="139" ht="18" customHeight="1" x14ac:dyDescent="0.3"/>
    <row r="140" ht="18" customHeight="1" x14ac:dyDescent="0.3"/>
    <row r="141" ht="18" customHeight="1" x14ac:dyDescent="0.3"/>
    <row r="142" ht="18" customHeight="1" x14ac:dyDescent="0.3"/>
  </sheetData>
  <mergeCells count="11">
    <mergeCell ref="F5:G5"/>
    <mergeCell ref="H1:I1"/>
    <mergeCell ref="H4:I4"/>
    <mergeCell ref="H5:I5"/>
    <mergeCell ref="A2:I2"/>
    <mergeCell ref="A3:I3"/>
    <mergeCell ref="A5:A6"/>
    <mergeCell ref="B5:B6"/>
    <mergeCell ref="D5:D6"/>
    <mergeCell ref="E5:E6"/>
    <mergeCell ref="C5:C6"/>
  </mergeCells>
  <phoneticPr fontId="3" type="noConversion"/>
  <printOptions horizontalCentered="1"/>
  <pageMargins left="0.24" right="0.15748031496063" top="0.23" bottom="0.81" header="0.2" footer="0.37"/>
  <pageSetup paperSize="9" scale="85" orientation="landscape" verticalDpi="0" r:id="rId1"/>
  <headerFooter alignWithMargins="0">
    <oddFooter>&amp;F&amp;RPage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1"/>
  <sheetViews>
    <sheetView zoomScale="130" zoomScaleNormal="130" workbookViewId="0">
      <selection activeCell="B5" sqref="B5:B6"/>
    </sheetView>
  </sheetViews>
  <sheetFormatPr defaultRowHeight="18.75" x14ac:dyDescent="0.3"/>
  <cols>
    <col min="1" max="1" width="5.42578125" style="14" customWidth="1"/>
    <col min="2" max="2" width="46.85546875" style="14" customWidth="1"/>
    <col min="3" max="3" width="16.7109375" style="14" customWidth="1"/>
    <col min="4" max="4" width="16.7109375" style="22" customWidth="1"/>
    <col min="5" max="5" width="16.7109375" style="14" customWidth="1"/>
    <col min="6" max="16384" width="9.140625" style="14"/>
  </cols>
  <sheetData>
    <row r="1" spans="1:7" x14ac:dyDescent="0.3">
      <c r="D1" s="199" t="s">
        <v>270</v>
      </c>
      <c r="E1" s="199"/>
    </row>
    <row r="2" spans="1:7" ht="18.75" customHeight="1" x14ac:dyDescent="0.3">
      <c r="A2" s="176" t="s">
        <v>245</v>
      </c>
      <c r="B2" s="176"/>
      <c r="C2" s="176"/>
      <c r="D2" s="176"/>
      <c r="E2" s="176"/>
    </row>
    <row r="3" spans="1:7" x14ac:dyDescent="0.3">
      <c r="A3" s="194" t="str">
        <f>'bieu 12 (PL05)'!A3:I3</f>
        <v>(Kèm theo Tờ trình số:           /TTr-UBND ngày      /11/2024 của UBND huyện Phụng Hiệp)</v>
      </c>
      <c r="B3" s="194"/>
      <c r="C3" s="194"/>
      <c r="D3" s="194"/>
      <c r="E3" s="194"/>
    </row>
    <row r="4" spans="1:7" ht="18.75" customHeight="1" x14ac:dyDescent="0.3">
      <c r="D4" s="200" t="s">
        <v>12</v>
      </c>
      <c r="E4" s="200"/>
    </row>
    <row r="5" spans="1:7" s="53" customFormat="1" ht="19.5" customHeight="1" x14ac:dyDescent="0.2">
      <c r="A5" s="178" t="s">
        <v>3</v>
      </c>
      <c r="B5" s="178" t="s">
        <v>26</v>
      </c>
      <c r="C5" s="173" t="s">
        <v>274</v>
      </c>
      <c r="D5" s="173" t="s">
        <v>281</v>
      </c>
      <c r="E5" s="173" t="s">
        <v>282</v>
      </c>
    </row>
    <row r="6" spans="1:7" s="131" customFormat="1" ht="66.599999999999994" customHeight="1" x14ac:dyDescent="0.2">
      <c r="A6" s="178"/>
      <c r="B6" s="178"/>
      <c r="C6" s="174"/>
      <c r="D6" s="174"/>
      <c r="E6" s="174"/>
    </row>
    <row r="7" spans="1:7" s="32" customFormat="1" ht="21" customHeight="1" x14ac:dyDescent="0.3">
      <c r="A7" s="74" t="s">
        <v>22</v>
      </c>
      <c r="B7" s="74" t="s">
        <v>23</v>
      </c>
      <c r="C7" s="74" t="s">
        <v>118</v>
      </c>
      <c r="D7" s="74" t="s">
        <v>11</v>
      </c>
      <c r="E7" s="74" t="s">
        <v>18</v>
      </c>
    </row>
    <row r="8" spans="1:7" ht="24.95" customHeight="1" x14ac:dyDescent="0.3">
      <c r="A8" s="106"/>
      <c r="B8" s="28" t="s">
        <v>186</v>
      </c>
      <c r="C8" s="107">
        <f>C9+C18+C19+C20</f>
        <v>767562</v>
      </c>
      <c r="D8" s="107">
        <f>D9+D18+D19+D20</f>
        <v>1025435.685969</v>
      </c>
      <c r="E8" s="107">
        <f>E9+E18+E19+E20</f>
        <v>1074898.3369690001</v>
      </c>
      <c r="F8" s="42"/>
      <c r="G8" s="42"/>
    </row>
    <row r="9" spans="1:7" s="15" customFormat="1" ht="24.95" customHeight="1" x14ac:dyDescent="0.3">
      <c r="A9" s="77" t="s">
        <v>30</v>
      </c>
      <c r="B9" s="28" t="s">
        <v>187</v>
      </c>
      <c r="C9" s="108">
        <f>SUM(C10:C17)</f>
        <v>114010</v>
      </c>
      <c r="D9" s="108">
        <f>SUM(D10:D17)</f>
        <v>183810</v>
      </c>
      <c r="E9" s="108">
        <f>SUM(E10:E17)</f>
        <v>183810</v>
      </c>
    </row>
    <row r="10" spans="1:7" s="16" customFormat="1" ht="44.45" customHeight="1" x14ac:dyDescent="0.3">
      <c r="A10" s="40">
        <v>1</v>
      </c>
      <c r="B10" s="25" t="s">
        <v>188</v>
      </c>
      <c r="C10" s="46">
        <v>49900</v>
      </c>
      <c r="D10" s="109">
        <v>49900</v>
      </c>
      <c r="E10" s="109">
        <f>D10</f>
        <v>49900</v>
      </c>
    </row>
    <row r="11" spans="1:7" ht="24.95" customHeight="1" x14ac:dyDescent="0.3">
      <c r="A11" s="40">
        <v>2</v>
      </c>
      <c r="B11" s="25" t="s">
        <v>189</v>
      </c>
      <c r="C11" s="46">
        <v>25610</v>
      </c>
      <c r="D11" s="110">
        <v>25610</v>
      </c>
      <c r="E11" s="109">
        <f t="shared" ref="E11:E17" si="0">D11</f>
        <v>25610</v>
      </c>
    </row>
    <row r="12" spans="1:7" ht="24.95" customHeight="1" x14ac:dyDescent="0.3">
      <c r="A12" s="31" t="s">
        <v>118</v>
      </c>
      <c r="B12" s="25" t="s">
        <v>62</v>
      </c>
      <c r="C12" s="46">
        <v>3500</v>
      </c>
      <c r="D12" s="110">
        <v>73300</v>
      </c>
      <c r="E12" s="109">
        <f>3500+69800</f>
        <v>73300</v>
      </c>
    </row>
    <row r="13" spans="1:7" s="16" customFormat="1" ht="24.95" customHeight="1" x14ac:dyDescent="0.3">
      <c r="A13" s="31" t="s">
        <v>11</v>
      </c>
      <c r="B13" s="25" t="s">
        <v>190</v>
      </c>
      <c r="C13" s="46">
        <v>24000</v>
      </c>
      <c r="D13" s="110">
        <v>24000</v>
      </c>
      <c r="E13" s="109">
        <f t="shared" si="0"/>
        <v>24000</v>
      </c>
    </row>
    <row r="14" spans="1:7" s="16" customFormat="1" ht="24.95" customHeight="1" x14ac:dyDescent="0.3">
      <c r="A14" s="31" t="s">
        <v>18</v>
      </c>
      <c r="B14" s="25" t="s">
        <v>191</v>
      </c>
      <c r="C14" s="46">
        <v>5300</v>
      </c>
      <c r="D14" s="110">
        <v>5300</v>
      </c>
      <c r="E14" s="109">
        <f t="shared" si="0"/>
        <v>5300</v>
      </c>
    </row>
    <row r="15" spans="1:7" s="16" customFormat="1" ht="24.95" customHeight="1" x14ac:dyDescent="0.3">
      <c r="A15" s="31" t="s">
        <v>19</v>
      </c>
      <c r="B15" s="25" t="s">
        <v>83</v>
      </c>
      <c r="C15" s="46">
        <v>2300</v>
      </c>
      <c r="D15" s="110">
        <v>2300</v>
      </c>
      <c r="E15" s="109">
        <f t="shared" si="0"/>
        <v>2300</v>
      </c>
    </row>
    <row r="16" spans="1:7" s="16" customFormat="1" ht="24.95" customHeight="1" x14ac:dyDescent="0.3">
      <c r="A16" s="31" t="s">
        <v>98</v>
      </c>
      <c r="B16" s="25" t="s">
        <v>201</v>
      </c>
      <c r="C16" s="46">
        <v>400</v>
      </c>
      <c r="D16" s="110">
        <v>400</v>
      </c>
      <c r="E16" s="109">
        <f t="shared" si="0"/>
        <v>400</v>
      </c>
    </row>
    <row r="17" spans="1:8" s="16" customFormat="1" ht="24.95" customHeight="1" x14ac:dyDescent="0.3">
      <c r="A17" s="31" t="s">
        <v>100</v>
      </c>
      <c r="B17" s="25" t="s">
        <v>192</v>
      </c>
      <c r="C17" s="46">
        <v>3000</v>
      </c>
      <c r="D17" s="110">
        <v>3000</v>
      </c>
      <c r="E17" s="109">
        <f t="shared" si="0"/>
        <v>3000</v>
      </c>
    </row>
    <row r="18" spans="1:8" s="69" customFormat="1" ht="24.95" customHeight="1" x14ac:dyDescent="0.35">
      <c r="A18" s="77" t="s">
        <v>75</v>
      </c>
      <c r="B18" s="28" t="s">
        <v>193</v>
      </c>
      <c r="C18" s="128">
        <v>653552</v>
      </c>
      <c r="D18" s="111">
        <v>678684</v>
      </c>
      <c r="E18" s="101">
        <f>'bieu 12 (PL05)'!$E$20</f>
        <v>728146.65100000007</v>
      </c>
      <c r="H18" s="124"/>
    </row>
    <row r="19" spans="1:8" s="69" customFormat="1" ht="24.95" customHeight="1" x14ac:dyDescent="0.35">
      <c r="A19" s="77" t="s">
        <v>76</v>
      </c>
      <c r="B19" s="112" t="s">
        <v>226</v>
      </c>
      <c r="C19" s="129">
        <v>0</v>
      </c>
      <c r="D19" s="101">
        <v>157140.61157499999</v>
      </c>
      <c r="E19" s="101">
        <v>157140.61157499999</v>
      </c>
    </row>
    <row r="20" spans="1:8" s="69" customFormat="1" ht="24.95" customHeight="1" x14ac:dyDescent="0.35">
      <c r="A20" s="77" t="s">
        <v>84</v>
      </c>
      <c r="B20" s="28" t="s">
        <v>9</v>
      </c>
      <c r="C20" s="130">
        <v>0</v>
      </c>
      <c r="D20" s="101">
        <v>5801.0743940000002</v>
      </c>
      <c r="E20" s="101">
        <v>5801.0743940000002</v>
      </c>
    </row>
    <row r="21" spans="1:8" ht="18" customHeight="1" x14ac:dyDescent="0.3">
      <c r="E21" s="42"/>
    </row>
    <row r="22" spans="1:8" ht="18" customHeight="1" x14ac:dyDescent="0.3">
      <c r="E22" s="43"/>
    </row>
    <row r="23" spans="1:8" ht="18" customHeight="1" x14ac:dyDescent="0.3">
      <c r="E23" s="44"/>
    </row>
    <row r="24" spans="1:8" ht="18" customHeight="1" x14ac:dyDescent="0.3">
      <c r="E24" s="44"/>
    </row>
    <row r="25" spans="1:8" ht="18" customHeight="1" x14ac:dyDescent="0.3">
      <c r="E25" s="45"/>
    </row>
    <row r="26" spans="1:8" ht="18" customHeight="1" x14ac:dyDescent="0.3">
      <c r="E26" s="45"/>
    </row>
    <row r="27" spans="1:8" ht="18" customHeight="1" x14ac:dyDescent="0.3">
      <c r="E27" s="42"/>
    </row>
    <row r="28" spans="1:8" ht="18" customHeight="1" x14ac:dyDescent="0.3">
      <c r="E28" s="42"/>
    </row>
    <row r="29" spans="1:8" ht="18" customHeight="1" x14ac:dyDescent="0.3">
      <c r="E29" s="42"/>
    </row>
    <row r="30" spans="1:8" ht="18" customHeight="1" x14ac:dyDescent="0.3">
      <c r="E30" s="42"/>
    </row>
    <row r="31" spans="1:8" ht="18" customHeight="1" x14ac:dyDescent="0.3">
      <c r="E31" s="42"/>
    </row>
    <row r="32" spans="1:8" ht="18" customHeight="1" x14ac:dyDescent="0.3">
      <c r="E32" s="42"/>
    </row>
    <row r="33" spans="5:5" ht="18" customHeight="1" x14ac:dyDescent="0.3">
      <c r="E33" s="42"/>
    </row>
    <row r="34" spans="5:5" ht="18" customHeight="1" x14ac:dyDescent="0.3">
      <c r="E34" s="42"/>
    </row>
    <row r="35" spans="5:5" ht="18" customHeight="1" x14ac:dyDescent="0.3">
      <c r="E35" s="42"/>
    </row>
    <row r="36" spans="5:5" ht="18" customHeight="1" x14ac:dyDescent="0.3">
      <c r="E36" s="42"/>
    </row>
    <row r="37" spans="5:5" ht="18" customHeight="1" x14ac:dyDescent="0.3">
      <c r="E37" s="42"/>
    </row>
    <row r="38" spans="5:5" ht="18" customHeight="1" x14ac:dyDescent="0.3">
      <c r="E38" s="42"/>
    </row>
    <row r="39" spans="5:5" ht="18" customHeight="1" x14ac:dyDescent="0.3">
      <c r="E39" s="42"/>
    </row>
    <row r="40" spans="5:5" ht="18" customHeight="1" x14ac:dyDescent="0.3">
      <c r="E40" s="42"/>
    </row>
    <row r="41" spans="5:5" ht="18" customHeight="1" x14ac:dyDescent="0.3">
      <c r="E41" s="42"/>
    </row>
    <row r="42" spans="5:5" ht="18" customHeight="1" x14ac:dyDescent="0.3">
      <c r="E42" s="42"/>
    </row>
    <row r="43" spans="5:5" ht="18" customHeight="1" x14ac:dyDescent="0.3">
      <c r="E43" s="42"/>
    </row>
    <row r="44" spans="5:5" ht="18" customHeight="1" x14ac:dyDescent="0.3">
      <c r="E44" s="42"/>
    </row>
    <row r="45" spans="5:5" ht="18" customHeight="1" x14ac:dyDescent="0.3">
      <c r="E45" s="42"/>
    </row>
    <row r="46" spans="5:5" ht="18" customHeight="1" x14ac:dyDescent="0.3">
      <c r="E46" s="42"/>
    </row>
    <row r="47" spans="5:5" ht="18" customHeight="1" x14ac:dyDescent="0.3">
      <c r="E47" s="42"/>
    </row>
    <row r="48" spans="5:5" ht="18" customHeight="1" x14ac:dyDescent="0.3">
      <c r="E48" s="42"/>
    </row>
    <row r="49" spans="5:5" ht="18" customHeight="1" x14ac:dyDescent="0.3">
      <c r="E49" s="42"/>
    </row>
    <row r="50" spans="5:5" ht="18" customHeight="1" x14ac:dyDescent="0.3">
      <c r="E50" s="42"/>
    </row>
    <row r="51" spans="5:5" ht="18" customHeight="1" x14ac:dyDescent="0.3">
      <c r="E51" s="42"/>
    </row>
    <row r="52" spans="5:5" ht="18" customHeight="1" x14ac:dyDescent="0.3">
      <c r="E52" s="42"/>
    </row>
    <row r="53" spans="5:5" ht="18" customHeight="1" x14ac:dyDescent="0.3">
      <c r="E53" s="42"/>
    </row>
    <row r="54" spans="5:5" ht="18" customHeight="1" x14ac:dyDescent="0.3">
      <c r="E54" s="42"/>
    </row>
    <row r="55" spans="5:5" ht="18" customHeight="1" x14ac:dyDescent="0.3">
      <c r="E55" s="42"/>
    </row>
    <row r="56" spans="5:5" ht="18" customHeight="1" x14ac:dyDescent="0.3">
      <c r="E56" s="42"/>
    </row>
    <row r="57" spans="5:5" ht="18" customHeight="1" x14ac:dyDescent="0.3">
      <c r="E57" s="42"/>
    </row>
    <row r="58" spans="5:5" ht="18" customHeight="1" x14ac:dyDescent="0.3">
      <c r="E58" s="42"/>
    </row>
    <row r="59" spans="5:5" ht="18" customHeight="1" x14ac:dyDescent="0.3">
      <c r="E59" s="42"/>
    </row>
    <row r="60" spans="5:5" ht="18" customHeight="1" x14ac:dyDescent="0.3">
      <c r="E60" s="42"/>
    </row>
    <row r="61" spans="5:5" ht="18" customHeight="1" x14ac:dyDescent="0.3">
      <c r="E61" s="42"/>
    </row>
    <row r="62" spans="5:5" ht="18" customHeight="1" x14ac:dyDescent="0.3">
      <c r="E62" s="42"/>
    </row>
    <row r="63" spans="5:5" ht="18" customHeight="1" x14ac:dyDescent="0.3">
      <c r="E63" s="42"/>
    </row>
    <row r="64" spans="5:5" ht="18" customHeight="1" x14ac:dyDescent="0.3">
      <c r="E64" s="42"/>
    </row>
    <row r="65" spans="5:5" ht="18" customHeight="1" x14ac:dyDescent="0.3">
      <c r="E65" s="42"/>
    </row>
    <row r="66" spans="5:5" ht="18" customHeight="1" x14ac:dyDescent="0.3"/>
    <row r="67" spans="5:5" ht="18" customHeight="1" x14ac:dyDescent="0.3"/>
    <row r="68" spans="5:5" ht="18" customHeight="1" x14ac:dyDescent="0.3"/>
    <row r="69" spans="5:5" ht="18" customHeight="1" x14ac:dyDescent="0.3"/>
    <row r="70" spans="5:5" ht="18" customHeight="1" x14ac:dyDescent="0.3"/>
    <row r="71" spans="5:5" ht="18" customHeight="1" x14ac:dyDescent="0.3"/>
    <row r="72" spans="5:5" ht="18" customHeight="1" x14ac:dyDescent="0.3"/>
    <row r="73" spans="5:5" ht="18" customHeight="1" x14ac:dyDescent="0.3"/>
    <row r="74" spans="5:5" ht="18" customHeight="1" x14ac:dyDescent="0.3"/>
    <row r="75" spans="5:5" ht="18" customHeight="1" x14ac:dyDescent="0.3"/>
    <row r="76" spans="5:5" ht="18" customHeight="1" x14ac:dyDescent="0.3"/>
    <row r="77" spans="5:5" ht="18" customHeight="1" x14ac:dyDescent="0.3"/>
    <row r="78" spans="5:5" ht="18" customHeight="1" x14ac:dyDescent="0.3"/>
    <row r="79" spans="5:5" ht="18" customHeight="1" x14ac:dyDescent="0.3"/>
    <row r="80" spans="5:5" ht="18" customHeight="1" x14ac:dyDescent="0.3"/>
    <row r="81" ht="18" customHeight="1" x14ac:dyDescent="0.3"/>
  </sheetData>
  <mergeCells count="9">
    <mergeCell ref="D1:E1"/>
    <mergeCell ref="D4:E4"/>
    <mergeCell ref="A5:A6"/>
    <mergeCell ref="B5:B6"/>
    <mergeCell ref="D5:D6"/>
    <mergeCell ref="E5:E6"/>
    <mergeCell ref="A2:E2"/>
    <mergeCell ref="A3:E3"/>
    <mergeCell ref="C5:C6"/>
  </mergeCells>
  <phoneticPr fontId="3" type="noConversion"/>
  <printOptions horizontalCentered="1"/>
  <pageMargins left="0.35433070866141736" right="0.15748031496062992" top="0.6692913385826772" bottom="0.19685039370078741" header="0.51181102362204722" footer="0.51181102362204722"/>
  <pageSetup paperSize="9" scale="95" orientation="portrait" verticalDpi="0" r:id="rId1"/>
  <headerFooter alignWithMargins="0">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workbookViewId="0"/>
  </sheetViews>
  <sheetFormatPr defaultRowHeight="16.5" x14ac:dyDescent="0.25"/>
  <cols>
    <col min="1" max="1" width="5.28515625" style="10" customWidth="1"/>
    <col min="2" max="2" width="21" style="10" bestFit="1" customWidth="1"/>
    <col min="3" max="3" width="10.85546875" style="10" customWidth="1"/>
    <col min="4" max="4" width="11.28515625" style="10" customWidth="1"/>
    <col min="5" max="7" width="11.140625" style="10" customWidth="1"/>
    <col min="8" max="9" width="10.85546875" style="10" customWidth="1"/>
    <col min="10" max="10" width="11.42578125" style="10" customWidth="1"/>
    <col min="11" max="13" width="10.85546875" style="10" customWidth="1"/>
    <col min="14" max="14" width="11" style="10" customWidth="1"/>
    <col min="15" max="16" width="10.85546875" style="10" customWidth="1"/>
    <col min="17" max="17" width="11" style="10" customWidth="1"/>
    <col min="18" max="18" width="11.85546875" style="10" customWidth="1"/>
    <col min="19" max="19" width="11.42578125" style="10" customWidth="1"/>
    <col min="20" max="20" width="10.140625" style="12" customWidth="1"/>
    <col min="21" max="21" width="11.28515625" style="76" customWidth="1"/>
    <col min="22" max="22" width="11.85546875" style="10" customWidth="1"/>
    <col min="23" max="23" width="10.85546875" style="10" customWidth="1"/>
    <col min="24" max="24" width="11" style="10" customWidth="1"/>
    <col min="25" max="16384" width="9.140625" style="10"/>
  </cols>
  <sheetData>
    <row r="1" spans="1:24" s="6" customFormat="1" ht="15.75" customHeight="1" x14ac:dyDescent="0.25">
      <c r="A1" s="18"/>
      <c r="B1" s="18"/>
      <c r="C1" s="18"/>
      <c r="D1" s="3"/>
      <c r="E1" s="3"/>
      <c r="F1" s="3"/>
      <c r="G1" s="3"/>
      <c r="H1" s="4"/>
      <c r="I1" s="4"/>
      <c r="J1" s="4"/>
      <c r="K1" s="4"/>
      <c r="L1" s="4"/>
      <c r="M1" s="4"/>
      <c r="N1" s="4"/>
      <c r="O1" s="4"/>
      <c r="P1" s="4"/>
      <c r="Q1" s="4"/>
      <c r="R1" s="4"/>
      <c r="S1" s="5"/>
      <c r="T1" s="5"/>
      <c r="U1" s="75"/>
      <c r="V1" s="206" t="s">
        <v>195</v>
      </c>
      <c r="W1" s="206"/>
      <c r="X1" s="206"/>
    </row>
    <row r="2" spans="1:24" s="6" customFormat="1" x14ac:dyDescent="0.25">
      <c r="A2" s="207" t="s">
        <v>246</v>
      </c>
      <c r="B2" s="207"/>
      <c r="C2" s="207"/>
      <c r="D2" s="207"/>
      <c r="E2" s="207"/>
      <c r="F2" s="207"/>
      <c r="G2" s="207"/>
      <c r="H2" s="207"/>
      <c r="I2" s="207"/>
      <c r="J2" s="207"/>
      <c r="K2" s="207"/>
      <c r="L2" s="207"/>
      <c r="M2" s="207"/>
      <c r="N2" s="207"/>
      <c r="O2" s="207"/>
      <c r="P2" s="207"/>
      <c r="Q2" s="207"/>
      <c r="R2" s="207"/>
      <c r="S2" s="207"/>
      <c r="T2" s="207"/>
      <c r="U2" s="207"/>
      <c r="V2" s="207"/>
      <c r="W2" s="207"/>
      <c r="X2" s="207"/>
    </row>
    <row r="3" spans="1:24" s="6" customFormat="1" x14ac:dyDescent="0.25">
      <c r="A3" s="201" t="str">
        <f>'bieu 12 (PL05)'!A3:I3</f>
        <v>(Kèm theo Tờ trình số:           /TTr-UBND ngày      /11/2024 của UBND huyện Phụng Hiệp)</v>
      </c>
      <c r="B3" s="201"/>
      <c r="C3" s="201"/>
      <c r="D3" s="201"/>
      <c r="E3" s="201"/>
      <c r="F3" s="201"/>
      <c r="G3" s="201"/>
      <c r="H3" s="201"/>
      <c r="I3" s="201"/>
      <c r="J3" s="201"/>
      <c r="K3" s="201"/>
      <c r="L3" s="201"/>
      <c r="M3" s="201"/>
      <c r="N3" s="201"/>
      <c r="O3" s="201"/>
      <c r="P3" s="201"/>
      <c r="Q3" s="201"/>
      <c r="R3" s="201"/>
      <c r="S3" s="201"/>
      <c r="T3" s="201"/>
      <c r="U3" s="201"/>
      <c r="V3" s="201"/>
      <c r="W3" s="201"/>
      <c r="X3" s="201"/>
    </row>
    <row r="4" spans="1:24" s="6" customFormat="1" x14ac:dyDescent="0.25">
      <c r="C4" s="3"/>
      <c r="D4" s="3"/>
      <c r="E4" s="7"/>
      <c r="F4" s="7"/>
      <c r="G4" s="7"/>
      <c r="H4" s="3"/>
      <c r="I4" s="3"/>
      <c r="J4" s="3"/>
      <c r="K4" s="3"/>
      <c r="L4" s="3"/>
      <c r="M4" s="3"/>
      <c r="N4" s="3"/>
      <c r="O4" s="3"/>
      <c r="P4" s="3"/>
      <c r="Q4" s="3"/>
      <c r="R4" s="3"/>
      <c r="S4" s="3"/>
      <c r="T4" s="3"/>
      <c r="U4" s="19"/>
      <c r="V4" s="3"/>
      <c r="W4" s="203" t="s">
        <v>12</v>
      </c>
      <c r="X4" s="203"/>
    </row>
    <row r="5" spans="1:24" s="8" customFormat="1" ht="24.75" customHeight="1" x14ac:dyDescent="0.2">
      <c r="A5" s="209" t="s">
        <v>161</v>
      </c>
      <c r="B5" s="205" t="s">
        <v>162</v>
      </c>
      <c r="C5" s="205" t="s">
        <v>247</v>
      </c>
      <c r="D5" s="205"/>
      <c r="E5" s="205"/>
      <c r="F5" s="205"/>
      <c r="G5" s="205"/>
      <c r="H5" s="205"/>
      <c r="I5" s="208" t="s">
        <v>287</v>
      </c>
      <c r="J5" s="208"/>
      <c r="K5" s="208"/>
      <c r="L5" s="208"/>
      <c r="M5" s="208"/>
      <c r="N5" s="208"/>
      <c r="O5" s="208"/>
      <c r="P5" s="208"/>
      <c r="Q5" s="208" t="s">
        <v>291</v>
      </c>
      <c r="R5" s="208"/>
      <c r="S5" s="208"/>
      <c r="T5" s="208"/>
      <c r="U5" s="208"/>
      <c r="V5" s="208"/>
      <c r="W5" s="208"/>
      <c r="X5" s="208"/>
    </row>
    <row r="6" spans="1:24" s="8" customFormat="1" ht="36.75" customHeight="1" x14ac:dyDescent="0.2">
      <c r="A6" s="209"/>
      <c r="B6" s="205"/>
      <c r="C6" s="202" t="s">
        <v>200</v>
      </c>
      <c r="D6" s="202" t="s">
        <v>163</v>
      </c>
      <c r="E6" s="202" t="s">
        <v>164</v>
      </c>
      <c r="F6" s="202" t="s">
        <v>168</v>
      </c>
      <c r="G6" s="202" t="s">
        <v>169</v>
      </c>
      <c r="H6" s="202"/>
      <c r="I6" s="202" t="s">
        <v>165</v>
      </c>
      <c r="J6" s="202" t="s">
        <v>166</v>
      </c>
      <c r="K6" s="202" t="s">
        <v>167</v>
      </c>
      <c r="L6" s="202" t="s">
        <v>249</v>
      </c>
      <c r="M6" s="204" t="s">
        <v>250</v>
      </c>
      <c r="N6" s="202" t="s">
        <v>168</v>
      </c>
      <c r="O6" s="202" t="s">
        <v>169</v>
      </c>
      <c r="P6" s="202"/>
      <c r="Q6" s="202" t="s">
        <v>165</v>
      </c>
      <c r="R6" s="202" t="s">
        <v>166</v>
      </c>
      <c r="S6" s="202" t="s">
        <v>167</v>
      </c>
      <c r="T6" s="202" t="s">
        <v>249</v>
      </c>
      <c r="U6" s="204" t="s">
        <v>250</v>
      </c>
      <c r="V6" s="202" t="s">
        <v>168</v>
      </c>
      <c r="W6" s="202" t="s">
        <v>169</v>
      </c>
      <c r="X6" s="202"/>
    </row>
    <row r="7" spans="1:24" s="8" customFormat="1" ht="90" customHeight="1" x14ac:dyDescent="0.2">
      <c r="A7" s="209"/>
      <c r="B7" s="205"/>
      <c r="C7" s="202"/>
      <c r="D7" s="202"/>
      <c r="E7" s="202"/>
      <c r="F7" s="202"/>
      <c r="G7" s="78" t="s">
        <v>170</v>
      </c>
      <c r="H7" s="79" t="s">
        <v>248</v>
      </c>
      <c r="I7" s="202"/>
      <c r="J7" s="202"/>
      <c r="K7" s="202"/>
      <c r="L7" s="202"/>
      <c r="M7" s="204"/>
      <c r="N7" s="202"/>
      <c r="O7" s="78" t="s">
        <v>170</v>
      </c>
      <c r="P7" s="79" t="s">
        <v>248</v>
      </c>
      <c r="Q7" s="202"/>
      <c r="R7" s="202"/>
      <c r="S7" s="202"/>
      <c r="T7" s="202"/>
      <c r="U7" s="204"/>
      <c r="V7" s="202"/>
      <c r="W7" s="78" t="s">
        <v>170</v>
      </c>
      <c r="X7" s="79" t="s">
        <v>248</v>
      </c>
    </row>
    <row r="8" spans="1:24" s="9" customFormat="1" ht="24.95" customHeight="1" x14ac:dyDescent="0.25">
      <c r="A8" s="113"/>
      <c r="B8" s="172" t="s">
        <v>119</v>
      </c>
      <c r="C8" s="114">
        <f t="shared" ref="C8:K8" si="0">SUM(C9:C23)</f>
        <v>25800</v>
      </c>
      <c r="D8" s="114">
        <f t="shared" si="0"/>
        <v>107270.5</v>
      </c>
      <c r="E8" s="114">
        <f t="shared" si="0"/>
        <v>20420</v>
      </c>
      <c r="F8" s="114">
        <f t="shared" si="0"/>
        <v>86851</v>
      </c>
      <c r="G8" s="114">
        <f t="shared" si="0"/>
        <v>82331</v>
      </c>
      <c r="H8" s="114">
        <f t="shared" si="0"/>
        <v>4520</v>
      </c>
      <c r="I8" s="114">
        <f t="shared" si="0"/>
        <v>25800</v>
      </c>
      <c r="J8" s="115">
        <f t="shared" si="0"/>
        <v>151951.18849500001</v>
      </c>
      <c r="K8" s="114">
        <f t="shared" si="0"/>
        <v>20420</v>
      </c>
      <c r="L8" s="114">
        <f>SUM(L9:L23)+0.1</f>
        <v>2513.2392639999998</v>
      </c>
      <c r="M8" s="115">
        <f>SUM(M9:M23)</f>
        <v>10199.049230999999</v>
      </c>
      <c r="N8" s="114">
        <f>SUM(N9:N23)</f>
        <v>118818.99999999999</v>
      </c>
      <c r="O8" s="114">
        <f>SUM(O9:O23)</f>
        <v>82331</v>
      </c>
      <c r="P8" s="115">
        <f>SUM(P9:P23)+0.3</f>
        <v>36488.300000000003</v>
      </c>
      <c r="Q8" s="114">
        <f t="shared" ref="Q8:X8" si="1">SUM(Q9:Q23)</f>
        <v>25800</v>
      </c>
      <c r="R8" s="115">
        <f t="shared" si="1"/>
        <v>164389.35849499999</v>
      </c>
      <c r="S8" s="114">
        <f t="shared" si="1"/>
        <v>20420</v>
      </c>
      <c r="T8" s="114">
        <f t="shared" si="1"/>
        <v>2513.1392639999999</v>
      </c>
      <c r="U8" s="115">
        <f t="shared" si="1"/>
        <v>10199.049230999999</v>
      </c>
      <c r="V8" s="114">
        <f t="shared" si="1"/>
        <v>131257.17000000001</v>
      </c>
      <c r="W8" s="114">
        <f t="shared" si="1"/>
        <v>81537.031000000003</v>
      </c>
      <c r="X8" s="115">
        <f t="shared" si="1"/>
        <v>49720.139000000003</v>
      </c>
    </row>
    <row r="9" spans="1:24" s="6" customFormat="1" ht="24.95" customHeight="1" x14ac:dyDescent="0.25">
      <c r="A9" s="116">
        <v>1</v>
      </c>
      <c r="B9" s="117" t="s">
        <v>171</v>
      </c>
      <c r="C9" s="118">
        <v>3450</v>
      </c>
      <c r="D9" s="118">
        <v>6295.2</v>
      </c>
      <c r="E9" s="118">
        <v>2590</v>
      </c>
      <c r="F9" s="118">
        <f>G9+H9</f>
        <v>3705.2999999999997</v>
      </c>
      <c r="G9" s="118">
        <v>3501.2</v>
      </c>
      <c r="H9" s="118">
        <v>204.1</v>
      </c>
      <c r="I9" s="118">
        <f>C9</f>
        <v>3450</v>
      </c>
      <c r="J9" s="118">
        <f>N9+L9+K9+M9</f>
        <v>9307.1141620000017</v>
      </c>
      <c r="K9" s="118">
        <f>E9</f>
        <v>2590</v>
      </c>
      <c r="L9" s="119">
        <v>0</v>
      </c>
      <c r="M9" s="119">
        <v>761.41416200000003</v>
      </c>
      <c r="N9" s="118">
        <f>O9+P9</f>
        <v>5955.7</v>
      </c>
      <c r="O9" s="118">
        <f>G9</f>
        <v>3501.2</v>
      </c>
      <c r="P9" s="119">
        <v>2454.5</v>
      </c>
      <c r="Q9" s="118">
        <f>C9</f>
        <v>3450</v>
      </c>
      <c r="R9" s="118">
        <f>V9+T9+S9+U9</f>
        <v>10071.322162</v>
      </c>
      <c r="S9" s="118">
        <f>E9</f>
        <v>2590</v>
      </c>
      <c r="T9" s="119">
        <v>0</v>
      </c>
      <c r="U9" s="119">
        <v>761.41416200000003</v>
      </c>
      <c r="V9" s="118">
        <f>W9+X9</f>
        <v>6719.9080000000004</v>
      </c>
      <c r="W9" s="118">
        <f>G9-58.15</f>
        <v>3443.0499999999997</v>
      </c>
      <c r="X9" s="119">
        <f>6719.908-W9</f>
        <v>3276.8580000000006</v>
      </c>
    </row>
    <row r="10" spans="1:24" s="6" customFormat="1" ht="24.95" customHeight="1" x14ac:dyDescent="0.25">
      <c r="A10" s="116">
        <v>2</v>
      </c>
      <c r="B10" s="117" t="s">
        <v>172</v>
      </c>
      <c r="C10" s="118">
        <v>2360</v>
      </c>
      <c r="D10" s="118">
        <v>6077.3</v>
      </c>
      <c r="E10" s="118">
        <v>1720</v>
      </c>
      <c r="F10" s="118">
        <f t="shared" ref="F10:F23" si="2">G10+H10</f>
        <v>4357.3</v>
      </c>
      <c r="G10" s="118">
        <v>4140.5</v>
      </c>
      <c r="H10" s="118">
        <v>216.8</v>
      </c>
      <c r="I10" s="118">
        <f t="shared" ref="I10:I23" si="3">C10</f>
        <v>2360</v>
      </c>
      <c r="J10" s="118">
        <f t="shared" ref="J10:J23" si="4">N10+L10+K10+M10</f>
        <v>7652.2724170000001</v>
      </c>
      <c r="K10" s="118">
        <f t="shared" ref="K10:K23" si="5">E10</f>
        <v>1720</v>
      </c>
      <c r="L10" s="119">
        <v>-238.67173500000001</v>
      </c>
      <c r="M10" s="119">
        <v>210.444152</v>
      </c>
      <c r="N10" s="118">
        <f t="shared" ref="N10:N23" si="6">O10+P10</f>
        <v>5960.5</v>
      </c>
      <c r="O10" s="118">
        <f t="shared" ref="O10:O23" si="7">G10</f>
        <v>4140.5</v>
      </c>
      <c r="P10" s="119">
        <v>1820</v>
      </c>
      <c r="Q10" s="118">
        <f t="shared" ref="Q10:Q23" si="8">C10</f>
        <v>2360</v>
      </c>
      <c r="R10" s="118">
        <f t="shared" ref="R10:R15" si="9">V10+T10+S10+U10</f>
        <v>8846.1184169999997</v>
      </c>
      <c r="S10" s="118">
        <f t="shared" ref="S10:S23" si="10">E10</f>
        <v>1720</v>
      </c>
      <c r="T10" s="119">
        <v>-238.67173500000001</v>
      </c>
      <c r="U10" s="119">
        <v>210.444152</v>
      </c>
      <c r="V10" s="118">
        <f t="shared" ref="V10:V23" si="11">W10+X10</f>
        <v>7154.3459999999995</v>
      </c>
      <c r="W10" s="118">
        <f>G10-58.15</f>
        <v>4082.35</v>
      </c>
      <c r="X10" s="119">
        <f>7154.346-W10</f>
        <v>3071.9959999999996</v>
      </c>
    </row>
    <row r="11" spans="1:24" s="6" customFormat="1" ht="24.95" customHeight="1" x14ac:dyDescent="0.25">
      <c r="A11" s="116">
        <v>3</v>
      </c>
      <c r="B11" s="117" t="s">
        <v>173</v>
      </c>
      <c r="C11" s="118">
        <v>1320</v>
      </c>
      <c r="D11" s="118">
        <v>5417</v>
      </c>
      <c r="E11" s="118">
        <v>1020</v>
      </c>
      <c r="F11" s="118">
        <f t="shared" si="2"/>
        <v>4397</v>
      </c>
      <c r="G11" s="118">
        <v>4243.8999999999996</v>
      </c>
      <c r="H11" s="118">
        <v>153.1</v>
      </c>
      <c r="I11" s="118">
        <f t="shared" si="3"/>
        <v>1320</v>
      </c>
      <c r="J11" s="118">
        <f t="shared" si="4"/>
        <v>7534.5942770000001</v>
      </c>
      <c r="K11" s="118">
        <f t="shared" si="5"/>
        <v>1020</v>
      </c>
      <c r="L11" s="119">
        <v>309.23433</v>
      </c>
      <c r="M11" s="119">
        <v>672.95994700000006</v>
      </c>
      <c r="N11" s="118">
        <f t="shared" si="6"/>
        <v>5532.4</v>
      </c>
      <c r="O11" s="118">
        <f t="shared" si="7"/>
        <v>4243.8999999999996</v>
      </c>
      <c r="P11" s="119">
        <v>1288.5</v>
      </c>
      <c r="Q11" s="118">
        <f t="shared" si="8"/>
        <v>1320</v>
      </c>
      <c r="R11" s="118">
        <f t="shared" si="9"/>
        <v>7909.4962770000002</v>
      </c>
      <c r="S11" s="118">
        <f t="shared" si="10"/>
        <v>1020</v>
      </c>
      <c r="T11" s="119">
        <v>309.23433</v>
      </c>
      <c r="U11" s="119">
        <v>672.95994700000006</v>
      </c>
      <c r="V11" s="118">
        <f t="shared" si="11"/>
        <v>5907.3019999999997</v>
      </c>
      <c r="W11" s="118">
        <f>G11-51</f>
        <v>4192.8999999999996</v>
      </c>
      <c r="X11" s="119">
        <f>5907.302-W11</f>
        <v>1714.402</v>
      </c>
    </row>
    <row r="12" spans="1:24" s="6" customFormat="1" ht="24.95" customHeight="1" x14ac:dyDescent="0.25">
      <c r="A12" s="116">
        <v>4</v>
      </c>
      <c r="B12" s="117" t="s">
        <v>174</v>
      </c>
      <c r="C12" s="118">
        <v>3620</v>
      </c>
      <c r="D12" s="118">
        <v>8051</v>
      </c>
      <c r="E12" s="118">
        <v>2950</v>
      </c>
      <c r="F12" s="118">
        <f t="shared" si="2"/>
        <v>5101</v>
      </c>
      <c r="G12" s="118">
        <v>4709.1499999999996</v>
      </c>
      <c r="H12" s="118">
        <v>391.85</v>
      </c>
      <c r="I12" s="118">
        <f t="shared" si="3"/>
        <v>3620</v>
      </c>
      <c r="J12" s="118">
        <f t="shared" si="4"/>
        <v>11581.949279</v>
      </c>
      <c r="K12" s="118">
        <f t="shared" si="5"/>
        <v>2950</v>
      </c>
      <c r="L12" s="119">
        <v>415.98294099999998</v>
      </c>
      <c r="M12" s="119">
        <v>730.81633799999997</v>
      </c>
      <c r="N12" s="118">
        <f t="shared" si="6"/>
        <v>7485.15</v>
      </c>
      <c r="O12" s="118">
        <f t="shared" si="7"/>
        <v>4709.1499999999996</v>
      </c>
      <c r="P12" s="119">
        <v>2776</v>
      </c>
      <c r="Q12" s="118">
        <f t="shared" si="8"/>
        <v>3620</v>
      </c>
      <c r="R12" s="118">
        <f t="shared" si="9"/>
        <v>12042.789279000001</v>
      </c>
      <c r="S12" s="118">
        <f t="shared" si="10"/>
        <v>2950</v>
      </c>
      <c r="T12" s="119">
        <v>415.98294099999998</v>
      </c>
      <c r="U12" s="119">
        <v>730.81633799999997</v>
      </c>
      <c r="V12" s="118">
        <f t="shared" si="11"/>
        <v>7945.99</v>
      </c>
      <c r="W12" s="118">
        <f>G12-157.854</f>
        <v>4551.2959999999994</v>
      </c>
      <c r="X12" s="119">
        <f>7945.99-W12</f>
        <v>3394.6940000000004</v>
      </c>
    </row>
    <row r="13" spans="1:24" s="6" customFormat="1" ht="24.95" customHeight="1" x14ac:dyDescent="0.25">
      <c r="A13" s="116">
        <v>5</v>
      </c>
      <c r="B13" s="117" t="s">
        <v>175</v>
      </c>
      <c r="C13" s="118">
        <v>2210</v>
      </c>
      <c r="D13" s="118">
        <v>8127</v>
      </c>
      <c r="E13" s="118">
        <v>1760</v>
      </c>
      <c r="F13" s="118">
        <f t="shared" si="2"/>
        <v>6367</v>
      </c>
      <c r="G13" s="118">
        <v>5982.6</v>
      </c>
      <c r="H13" s="118">
        <v>384.4</v>
      </c>
      <c r="I13" s="118">
        <f t="shared" si="3"/>
        <v>2210</v>
      </c>
      <c r="J13" s="118">
        <f t="shared" si="4"/>
        <v>11702.037420000001</v>
      </c>
      <c r="K13" s="118">
        <f t="shared" si="5"/>
        <v>1760</v>
      </c>
      <c r="L13" s="119">
        <v>124.60092299999999</v>
      </c>
      <c r="M13" s="119">
        <v>1026.836497</v>
      </c>
      <c r="N13" s="118">
        <f t="shared" si="6"/>
        <v>8790.6</v>
      </c>
      <c r="O13" s="118">
        <f t="shared" si="7"/>
        <v>5982.6</v>
      </c>
      <c r="P13" s="119">
        <v>2808</v>
      </c>
      <c r="Q13" s="118">
        <f t="shared" si="8"/>
        <v>2210</v>
      </c>
      <c r="R13" s="118">
        <f t="shared" si="9"/>
        <v>12380.531419999999</v>
      </c>
      <c r="S13" s="118">
        <f t="shared" si="10"/>
        <v>1760</v>
      </c>
      <c r="T13" s="119">
        <v>124.60092299999999</v>
      </c>
      <c r="U13" s="119">
        <v>1026.836497</v>
      </c>
      <c r="V13" s="118">
        <f t="shared" si="11"/>
        <v>9469.0939999999991</v>
      </c>
      <c r="W13" s="118">
        <f>G13-146.73</f>
        <v>5835.8700000000008</v>
      </c>
      <c r="X13" s="119">
        <f>9469.094-W13</f>
        <v>3633.2239999999983</v>
      </c>
    </row>
    <row r="14" spans="1:24" s="6" customFormat="1" ht="24.95" customHeight="1" x14ac:dyDescent="0.25">
      <c r="A14" s="116">
        <v>6</v>
      </c>
      <c r="B14" s="117" t="s">
        <v>176</v>
      </c>
      <c r="C14" s="118">
        <v>2260</v>
      </c>
      <c r="D14" s="118">
        <v>7457</v>
      </c>
      <c r="E14" s="118">
        <v>1800</v>
      </c>
      <c r="F14" s="118">
        <f t="shared" si="2"/>
        <v>5657</v>
      </c>
      <c r="G14" s="118">
        <v>5297.2</v>
      </c>
      <c r="H14" s="118">
        <v>359.8</v>
      </c>
      <c r="I14" s="118">
        <f t="shared" si="3"/>
        <v>2260</v>
      </c>
      <c r="J14" s="118">
        <f t="shared" si="4"/>
        <v>9836.6643540000005</v>
      </c>
      <c r="K14" s="118">
        <f t="shared" si="5"/>
        <v>1800</v>
      </c>
      <c r="L14" s="119">
        <v>0</v>
      </c>
      <c r="M14" s="119">
        <v>614.46435399999996</v>
      </c>
      <c r="N14" s="118">
        <f t="shared" si="6"/>
        <v>7422.2</v>
      </c>
      <c r="O14" s="118">
        <f t="shared" si="7"/>
        <v>5297.2</v>
      </c>
      <c r="P14" s="119">
        <v>2125</v>
      </c>
      <c r="Q14" s="118">
        <f t="shared" si="8"/>
        <v>2260</v>
      </c>
      <c r="R14" s="118">
        <f t="shared" si="9"/>
        <v>10718.951353999999</v>
      </c>
      <c r="S14" s="118">
        <f t="shared" si="10"/>
        <v>1800</v>
      </c>
      <c r="T14" s="119">
        <v>0</v>
      </c>
      <c r="U14" s="119">
        <v>614.46435399999996</v>
      </c>
      <c r="V14" s="118">
        <f t="shared" si="11"/>
        <v>8304.4869999999992</v>
      </c>
      <c r="W14" s="118">
        <f>G14-28.625</f>
        <v>5268.5749999999998</v>
      </c>
      <c r="X14" s="119">
        <f>8304.487-W14</f>
        <v>3035.9119999999994</v>
      </c>
    </row>
    <row r="15" spans="1:24" s="6" customFormat="1" ht="24.95" customHeight="1" x14ac:dyDescent="0.25">
      <c r="A15" s="116">
        <v>7</v>
      </c>
      <c r="B15" s="117" t="s">
        <v>177</v>
      </c>
      <c r="C15" s="118">
        <v>2220</v>
      </c>
      <c r="D15" s="118">
        <v>6981</v>
      </c>
      <c r="E15" s="118">
        <v>1720</v>
      </c>
      <c r="F15" s="118">
        <f t="shared" si="2"/>
        <v>5261.4</v>
      </c>
      <c r="G15" s="118">
        <v>4947.7</v>
      </c>
      <c r="H15" s="118">
        <v>313.7</v>
      </c>
      <c r="I15" s="118">
        <f t="shared" si="3"/>
        <v>2220</v>
      </c>
      <c r="J15" s="118">
        <f t="shared" si="4"/>
        <v>9748.712098</v>
      </c>
      <c r="K15" s="118">
        <f t="shared" si="5"/>
        <v>1720</v>
      </c>
      <c r="L15" s="119">
        <v>208.38740999999999</v>
      </c>
      <c r="M15" s="120">
        <v>929.62468799999999</v>
      </c>
      <c r="N15" s="118">
        <f t="shared" si="6"/>
        <v>6890.7</v>
      </c>
      <c r="O15" s="118">
        <f t="shared" si="7"/>
        <v>4947.7</v>
      </c>
      <c r="P15" s="119">
        <v>1943</v>
      </c>
      <c r="Q15" s="118">
        <f t="shared" si="8"/>
        <v>2220</v>
      </c>
      <c r="R15" s="118">
        <f t="shared" si="9"/>
        <v>10308.454098</v>
      </c>
      <c r="S15" s="118">
        <f t="shared" si="10"/>
        <v>1720</v>
      </c>
      <c r="T15" s="119">
        <v>208.38740999999999</v>
      </c>
      <c r="U15" s="120">
        <v>929.62468799999999</v>
      </c>
      <c r="V15" s="118">
        <f t="shared" si="11"/>
        <v>7450.442</v>
      </c>
      <c r="W15" s="118">
        <f t="shared" ref="W15:W23" si="12">G15</f>
        <v>4947.7</v>
      </c>
      <c r="X15" s="119">
        <f>7450.442-W15</f>
        <v>2502.7420000000002</v>
      </c>
    </row>
    <row r="16" spans="1:24" s="6" customFormat="1" ht="24.95" customHeight="1" x14ac:dyDescent="0.25">
      <c r="A16" s="116">
        <v>8</v>
      </c>
      <c r="B16" s="117" t="s">
        <v>178</v>
      </c>
      <c r="C16" s="118">
        <v>370</v>
      </c>
      <c r="D16" s="118">
        <v>6543</v>
      </c>
      <c r="E16" s="118">
        <v>320</v>
      </c>
      <c r="F16" s="118">
        <f t="shared" si="2"/>
        <v>6223</v>
      </c>
      <c r="G16" s="118">
        <v>6001.7</v>
      </c>
      <c r="H16" s="118">
        <v>221.3</v>
      </c>
      <c r="I16" s="118">
        <f t="shared" si="3"/>
        <v>370</v>
      </c>
      <c r="J16" s="118">
        <f t="shared" si="4"/>
        <v>8563.4042659999996</v>
      </c>
      <c r="K16" s="118">
        <f t="shared" si="5"/>
        <v>320</v>
      </c>
      <c r="L16" s="119">
        <v>103.53808100000001</v>
      </c>
      <c r="M16" s="119">
        <v>356.16618499999998</v>
      </c>
      <c r="N16" s="118">
        <f t="shared" si="6"/>
        <v>7783.7</v>
      </c>
      <c r="O16" s="118">
        <f t="shared" si="7"/>
        <v>6001.7</v>
      </c>
      <c r="P16" s="119">
        <v>1782</v>
      </c>
      <c r="Q16" s="118">
        <f t="shared" si="8"/>
        <v>370</v>
      </c>
      <c r="R16" s="118">
        <f t="shared" ref="R16:R23" si="13">V16+T16+S16+U16</f>
        <v>9793.7022660000002</v>
      </c>
      <c r="S16" s="118">
        <f t="shared" si="10"/>
        <v>320</v>
      </c>
      <c r="T16" s="119">
        <v>103.53808100000001</v>
      </c>
      <c r="U16" s="119">
        <v>356.16618499999998</v>
      </c>
      <c r="V16" s="118">
        <f t="shared" si="11"/>
        <v>9013.9979999999996</v>
      </c>
      <c r="W16" s="118">
        <f>G16-102.234</f>
        <v>5899.4659999999994</v>
      </c>
      <c r="X16" s="119">
        <f>9013.998-W16</f>
        <v>3114.5320000000002</v>
      </c>
    </row>
    <row r="17" spans="1:24" s="6" customFormat="1" ht="24.95" customHeight="1" x14ac:dyDescent="0.25">
      <c r="A17" s="116">
        <v>9</v>
      </c>
      <c r="B17" s="117" t="s">
        <v>179</v>
      </c>
      <c r="C17" s="118">
        <v>1060</v>
      </c>
      <c r="D17" s="118">
        <v>8758</v>
      </c>
      <c r="E17" s="118">
        <v>880</v>
      </c>
      <c r="F17" s="118">
        <f t="shared" si="2"/>
        <v>7878</v>
      </c>
      <c r="G17" s="118">
        <v>7478.45</v>
      </c>
      <c r="H17" s="118">
        <v>399.55</v>
      </c>
      <c r="I17" s="118">
        <f t="shared" si="3"/>
        <v>1060</v>
      </c>
      <c r="J17" s="118">
        <f t="shared" si="4"/>
        <v>11744.782944</v>
      </c>
      <c r="K17" s="118">
        <f t="shared" si="5"/>
        <v>880</v>
      </c>
      <c r="L17" s="119">
        <v>136.15006199999999</v>
      </c>
      <c r="M17" s="119">
        <v>790.18288199999995</v>
      </c>
      <c r="N17" s="118">
        <f t="shared" si="6"/>
        <v>9938.4500000000007</v>
      </c>
      <c r="O17" s="118">
        <f t="shared" si="7"/>
        <v>7478.45</v>
      </c>
      <c r="P17" s="119">
        <v>2460</v>
      </c>
      <c r="Q17" s="118">
        <f t="shared" si="8"/>
        <v>1060</v>
      </c>
      <c r="R17" s="118">
        <f t="shared" si="13"/>
        <v>13376.686943999999</v>
      </c>
      <c r="S17" s="118">
        <f t="shared" si="10"/>
        <v>880</v>
      </c>
      <c r="T17" s="119">
        <v>136.15006199999999</v>
      </c>
      <c r="U17" s="119">
        <v>790.18288199999995</v>
      </c>
      <c r="V17" s="118">
        <f t="shared" si="11"/>
        <v>11570.353999999999</v>
      </c>
      <c r="W17" s="118">
        <f t="shared" si="12"/>
        <v>7478.45</v>
      </c>
      <c r="X17" s="119">
        <f>11570.354-W17</f>
        <v>4091.9039999999995</v>
      </c>
    </row>
    <row r="18" spans="1:24" s="6" customFormat="1" ht="24.95" customHeight="1" x14ac:dyDescent="0.25">
      <c r="A18" s="116">
        <v>10</v>
      </c>
      <c r="B18" s="117" t="s">
        <v>180</v>
      </c>
      <c r="C18" s="118">
        <v>1070</v>
      </c>
      <c r="D18" s="118">
        <v>6967</v>
      </c>
      <c r="E18" s="118">
        <v>870</v>
      </c>
      <c r="F18" s="118">
        <f t="shared" si="2"/>
        <v>6097</v>
      </c>
      <c r="G18" s="118">
        <v>5813.65</v>
      </c>
      <c r="H18" s="118">
        <v>283.35000000000002</v>
      </c>
      <c r="I18" s="118">
        <f t="shared" si="3"/>
        <v>1070</v>
      </c>
      <c r="J18" s="118">
        <f t="shared" si="4"/>
        <v>9622.2432779999999</v>
      </c>
      <c r="K18" s="118">
        <f t="shared" si="5"/>
        <v>870</v>
      </c>
      <c r="L18" s="119">
        <v>0.32870500000000002</v>
      </c>
      <c r="M18" s="119">
        <v>605.26457300000004</v>
      </c>
      <c r="N18" s="118">
        <f t="shared" si="6"/>
        <v>8146.65</v>
      </c>
      <c r="O18" s="118">
        <f t="shared" si="7"/>
        <v>5813.65</v>
      </c>
      <c r="P18" s="119">
        <v>2333</v>
      </c>
      <c r="Q18" s="118">
        <f t="shared" si="8"/>
        <v>1070</v>
      </c>
      <c r="R18" s="118">
        <f t="shared" si="13"/>
        <v>10196.808278</v>
      </c>
      <c r="S18" s="118">
        <f t="shared" si="10"/>
        <v>870</v>
      </c>
      <c r="T18" s="119">
        <v>0.32870500000000002</v>
      </c>
      <c r="U18" s="119">
        <v>605.26457300000004</v>
      </c>
      <c r="V18" s="118">
        <f t="shared" si="11"/>
        <v>8721.2150000000001</v>
      </c>
      <c r="W18" s="118">
        <f t="shared" si="12"/>
        <v>5813.65</v>
      </c>
      <c r="X18" s="119">
        <f>8721.215-W18</f>
        <v>2907.5650000000005</v>
      </c>
    </row>
    <row r="19" spans="1:24" s="6" customFormat="1" ht="24.95" customHeight="1" x14ac:dyDescent="0.25">
      <c r="A19" s="116">
        <v>11</v>
      </c>
      <c r="B19" s="117" t="s">
        <v>181</v>
      </c>
      <c r="C19" s="118">
        <v>800</v>
      </c>
      <c r="D19" s="118">
        <v>6198</v>
      </c>
      <c r="E19" s="118">
        <v>630</v>
      </c>
      <c r="F19" s="118">
        <f t="shared" si="2"/>
        <v>5568</v>
      </c>
      <c r="G19" s="118">
        <v>5347.9</v>
      </c>
      <c r="H19" s="118">
        <v>220.1</v>
      </c>
      <c r="I19" s="118">
        <f t="shared" si="3"/>
        <v>800</v>
      </c>
      <c r="J19" s="118">
        <f t="shared" si="4"/>
        <v>9996.8242829999981</v>
      </c>
      <c r="K19" s="118">
        <f t="shared" si="5"/>
        <v>630</v>
      </c>
      <c r="L19" s="119">
        <v>520.93176500000004</v>
      </c>
      <c r="M19" s="119">
        <v>794.99251800000002</v>
      </c>
      <c r="N19" s="118">
        <f t="shared" si="6"/>
        <v>8050.9</v>
      </c>
      <c r="O19" s="118">
        <f t="shared" si="7"/>
        <v>5347.9</v>
      </c>
      <c r="P19" s="119">
        <v>2703</v>
      </c>
      <c r="Q19" s="118">
        <f t="shared" si="8"/>
        <v>800</v>
      </c>
      <c r="R19" s="118">
        <f t="shared" si="13"/>
        <v>10450.704282999999</v>
      </c>
      <c r="S19" s="118">
        <f t="shared" si="10"/>
        <v>630</v>
      </c>
      <c r="T19" s="119">
        <v>520.93176500000004</v>
      </c>
      <c r="U19" s="119">
        <v>794.99251800000002</v>
      </c>
      <c r="V19" s="118">
        <f t="shared" si="11"/>
        <v>8504.7800000000007</v>
      </c>
      <c r="W19" s="118">
        <f t="shared" si="12"/>
        <v>5347.9</v>
      </c>
      <c r="X19" s="119">
        <f>8504.78-W19</f>
        <v>3156.880000000001</v>
      </c>
    </row>
    <row r="20" spans="1:24" s="6" customFormat="1" ht="24.95" customHeight="1" x14ac:dyDescent="0.25">
      <c r="A20" s="116">
        <v>12</v>
      </c>
      <c r="B20" s="117" t="s">
        <v>182</v>
      </c>
      <c r="C20" s="118">
        <v>1640</v>
      </c>
      <c r="D20" s="118">
        <v>7188</v>
      </c>
      <c r="E20" s="118">
        <v>1280</v>
      </c>
      <c r="F20" s="118">
        <f t="shared" si="2"/>
        <v>5908</v>
      </c>
      <c r="G20" s="118">
        <v>5564.9</v>
      </c>
      <c r="H20" s="118">
        <v>343.1</v>
      </c>
      <c r="I20" s="118">
        <f t="shared" si="3"/>
        <v>1640</v>
      </c>
      <c r="J20" s="118">
        <f t="shared" si="4"/>
        <v>9909.5867550000003</v>
      </c>
      <c r="K20" s="118">
        <f t="shared" si="5"/>
        <v>1280</v>
      </c>
      <c r="L20" s="119">
        <v>180.59638200000001</v>
      </c>
      <c r="M20" s="119">
        <v>394.090373</v>
      </c>
      <c r="N20" s="118">
        <f t="shared" si="6"/>
        <v>8054.9</v>
      </c>
      <c r="O20" s="118">
        <f t="shared" si="7"/>
        <v>5564.9</v>
      </c>
      <c r="P20" s="119">
        <v>2490</v>
      </c>
      <c r="Q20" s="118">
        <f t="shared" si="8"/>
        <v>1640</v>
      </c>
      <c r="R20" s="118">
        <f t="shared" si="13"/>
        <v>10664.667754999999</v>
      </c>
      <c r="S20" s="118">
        <f t="shared" si="10"/>
        <v>1280</v>
      </c>
      <c r="T20" s="119">
        <v>180.59638200000001</v>
      </c>
      <c r="U20" s="119">
        <v>394.090373</v>
      </c>
      <c r="V20" s="118">
        <f t="shared" si="11"/>
        <v>8809.9809999999998</v>
      </c>
      <c r="W20" s="118">
        <f t="shared" si="12"/>
        <v>5564.9</v>
      </c>
      <c r="X20" s="119">
        <f>8809.981-W20</f>
        <v>3245.0810000000001</v>
      </c>
    </row>
    <row r="21" spans="1:24" s="6" customFormat="1" ht="24.95" customHeight="1" x14ac:dyDescent="0.25">
      <c r="A21" s="116">
        <v>13</v>
      </c>
      <c r="B21" s="117" t="s">
        <v>183</v>
      </c>
      <c r="C21" s="118">
        <v>1410</v>
      </c>
      <c r="D21" s="118">
        <v>8944</v>
      </c>
      <c r="E21" s="118">
        <v>1140</v>
      </c>
      <c r="F21" s="118">
        <f t="shared" si="2"/>
        <v>7804</v>
      </c>
      <c r="G21" s="118">
        <v>7367.6</v>
      </c>
      <c r="H21" s="118">
        <v>436.4</v>
      </c>
      <c r="I21" s="118">
        <f t="shared" si="3"/>
        <v>1410</v>
      </c>
      <c r="J21" s="118">
        <f t="shared" si="4"/>
        <v>13055.086646</v>
      </c>
      <c r="K21" s="118">
        <f t="shared" si="5"/>
        <v>1140</v>
      </c>
      <c r="L21" s="119">
        <v>0</v>
      </c>
      <c r="M21" s="119">
        <v>828.48664599999995</v>
      </c>
      <c r="N21" s="118">
        <f t="shared" si="6"/>
        <v>11086.6</v>
      </c>
      <c r="O21" s="118">
        <f t="shared" si="7"/>
        <v>7367.6</v>
      </c>
      <c r="P21" s="119">
        <v>3719</v>
      </c>
      <c r="Q21" s="118">
        <f t="shared" si="8"/>
        <v>1410</v>
      </c>
      <c r="R21" s="118">
        <f t="shared" si="13"/>
        <v>14567.976645999999</v>
      </c>
      <c r="S21" s="118">
        <f t="shared" si="10"/>
        <v>1140</v>
      </c>
      <c r="T21" s="119">
        <v>0</v>
      </c>
      <c r="U21" s="119">
        <v>828.48664599999995</v>
      </c>
      <c r="V21" s="118">
        <f t="shared" si="11"/>
        <v>12599.49</v>
      </c>
      <c r="W21" s="118">
        <f>G21-191.226</f>
        <v>7176.3740000000007</v>
      </c>
      <c r="X21" s="119">
        <f>12599.49-W21</f>
        <v>5423.1159999999991</v>
      </c>
    </row>
    <row r="22" spans="1:24" s="6" customFormat="1" ht="24.95" customHeight="1" x14ac:dyDescent="0.25">
      <c r="A22" s="116">
        <v>14</v>
      </c>
      <c r="B22" s="117" t="s">
        <v>184</v>
      </c>
      <c r="C22" s="118">
        <v>1590</v>
      </c>
      <c r="D22" s="118">
        <v>8320</v>
      </c>
      <c r="E22" s="118">
        <v>1370</v>
      </c>
      <c r="F22" s="118">
        <f t="shared" si="2"/>
        <v>6950</v>
      </c>
      <c r="G22" s="118">
        <v>6552.2</v>
      </c>
      <c r="H22" s="118">
        <v>397.8</v>
      </c>
      <c r="I22" s="118">
        <f t="shared" si="3"/>
        <v>1590</v>
      </c>
      <c r="J22" s="118">
        <f t="shared" si="4"/>
        <v>12984.996837000001</v>
      </c>
      <c r="K22" s="118">
        <f t="shared" si="5"/>
        <v>1370</v>
      </c>
      <c r="L22" s="119">
        <v>493.90607999999997</v>
      </c>
      <c r="M22" s="119">
        <v>847.89075700000001</v>
      </c>
      <c r="N22" s="118">
        <f t="shared" si="6"/>
        <v>10273.200000000001</v>
      </c>
      <c r="O22" s="118">
        <f t="shared" si="7"/>
        <v>6552.2</v>
      </c>
      <c r="P22" s="119">
        <v>3721</v>
      </c>
      <c r="Q22" s="118">
        <f t="shared" si="8"/>
        <v>1590</v>
      </c>
      <c r="R22" s="118">
        <f t="shared" si="13"/>
        <v>14120.256836999999</v>
      </c>
      <c r="S22" s="118">
        <f t="shared" si="10"/>
        <v>1370</v>
      </c>
      <c r="T22" s="119">
        <v>493.90607999999997</v>
      </c>
      <c r="U22" s="119">
        <v>847.89075700000001</v>
      </c>
      <c r="V22" s="118">
        <f t="shared" si="11"/>
        <v>11408.46</v>
      </c>
      <c r="W22" s="118">
        <f t="shared" si="12"/>
        <v>6552.2</v>
      </c>
      <c r="X22" s="119">
        <f>11408.46-W22</f>
        <v>4856.2599999999993</v>
      </c>
    </row>
    <row r="23" spans="1:24" s="6" customFormat="1" ht="24.95" customHeight="1" x14ac:dyDescent="0.25">
      <c r="A23" s="116">
        <v>15</v>
      </c>
      <c r="B23" s="117" t="s">
        <v>185</v>
      </c>
      <c r="C23" s="118">
        <v>420</v>
      </c>
      <c r="D23" s="118">
        <v>5947</v>
      </c>
      <c r="E23" s="118">
        <v>370</v>
      </c>
      <c r="F23" s="118">
        <f t="shared" si="2"/>
        <v>5577</v>
      </c>
      <c r="G23" s="118">
        <v>5382.35</v>
      </c>
      <c r="H23" s="118">
        <v>194.65</v>
      </c>
      <c r="I23" s="118">
        <f t="shared" si="3"/>
        <v>420</v>
      </c>
      <c r="J23" s="118">
        <f t="shared" si="4"/>
        <v>8710.9194790000001</v>
      </c>
      <c r="K23" s="118">
        <f t="shared" si="5"/>
        <v>370</v>
      </c>
      <c r="L23" s="119">
        <v>258.15431999999998</v>
      </c>
      <c r="M23" s="119">
        <v>635.41515900000002</v>
      </c>
      <c r="N23" s="118">
        <f t="shared" si="6"/>
        <v>7447.35</v>
      </c>
      <c r="O23" s="118">
        <f t="shared" si="7"/>
        <v>5382.35</v>
      </c>
      <c r="P23" s="119">
        <v>2065</v>
      </c>
      <c r="Q23" s="118">
        <f t="shared" si="8"/>
        <v>420</v>
      </c>
      <c r="R23" s="118">
        <f t="shared" si="13"/>
        <v>8940.8924790000001</v>
      </c>
      <c r="S23" s="118">
        <f t="shared" si="10"/>
        <v>370</v>
      </c>
      <c r="T23" s="119">
        <v>258.15431999999998</v>
      </c>
      <c r="U23" s="119">
        <v>635.41515900000002</v>
      </c>
      <c r="V23" s="118">
        <f t="shared" si="11"/>
        <v>7677.3230000000003</v>
      </c>
      <c r="W23" s="118">
        <f t="shared" si="12"/>
        <v>5382.35</v>
      </c>
      <c r="X23" s="119">
        <f>7677.323-W23</f>
        <v>2294.973</v>
      </c>
    </row>
    <row r="25" spans="1:24" x14ac:dyDescent="0.25">
      <c r="E25" s="11"/>
      <c r="F25" s="11"/>
      <c r="G25" s="11"/>
    </row>
    <row r="26" spans="1:24" x14ac:dyDescent="0.25">
      <c r="V26" s="11"/>
    </row>
    <row r="28" spans="1:24" x14ac:dyDescent="0.25">
      <c r="V28" s="11"/>
    </row>
    <row r="30" spans="1:24" x14ac:dyDescent="0.25">
      <c r="V30" s="11"/>
    </row>
  </sheetData>
  <mergeCells count="28">
    <mergeCell ref="V1:X1"/>
    <mergeCell ref="D6:D7"/>
    <mergeCell ref="T6:T7"/>
    <mergeCell ref="B5:B7"/>
    <mergeCell ref="V6:V7"/>
    <mergeCell ref="Q6:Q7"/>
    <mergeCell ref="R6:R7"/>
    <mergeCell ref="A2:X2"/>
    <mergeCell ref="Q5:X5"/>
    <mergeCell ref="A5:A7"/>
    <mergeCell ref="F6:F7"/>
    <mergeCell ref="G6:H6"/>
    <mergeCell ref="I5:P5"/>
    <mergeCell ref="I6:I7"/>
    <mergeCell ref="J6:J7"/>
    <mergeCell ref="K6:K7"/>
    <mergeCell ref="A3:X3"/>
    <mergeCell ref="C6:C7"/>
    <mergeCell ref="W4:X4"/>
    <mergeCell ref="U6:U7"/>
    <mergeCell ref="W6:X6"/>
    <mergeCell ref="E6:E7"/>
    <mergeCell ref="S6:S7"/>
    <mergeCell ref="C5:H5"/>
    <mergeCell ref="N6:N7"/>
    <mergeCell ref="O6:P6"/>
    <mergeCell ref="L6:L7"/>
    <mergeCell ref="M6:M7"/>
  </mergeCells>
  <phoneticPr fontId="3" type="noConversion"/>
  <printOptions horizontalCentered="1"/>
  <pageMargins left="0.15748031496062992" right="0.15748031496062992" top="0.43307086614173229" bottom="0.59055118110236227" header="0.19685039370078741" footer="0.19685039370078741"/>
  <pageSetup paperSize="9" scale="53" orientation="landscape" verticalDpi="0" r:id="rId1"/>
  <headerFooter alignWithMargins="0">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21"/>
  <sheetViews>
    <sheetView workbookViewId="0">
      <selection activeCell="H4" sqref="H4"/>
    </sheetView>
  </sheetViews>
  <sheetFormatPr defaultColWidth="8.85546875" defaultRowHeight="18.75" x14ac:dyDescent="0.3"/>
  <cols>
    <col min="1" max="1" width="8.85546875" style="14"/>
    <col min="2" max="2" width="28.7109375" style="14" customWidth="1"/>
    <col min="3" max="3" width="22.28515625" style="22" customWidth="1"/>
    <col min="4" max="4" width="21.5703125" style="22" customWidth="1"/>
    <col min="5" max="5" width="19.5703125" style="22" customWidth="1"/>
    <col min="6" max="6" width="21.140625" style="22" customWidth="1"/>
    <col min="7" max="7" width="8.85546875" style="22"/>
    <col min="8" max="16384" width="8.85546875" style="14"/>
  </cols>
  <sheetData>
    <row r="3" spans="2:6" x14ac:dyDescent="0.3">
      <c r="B3" s="210" t="s">
        <v>255</v>
      </c>
      <c r="C3" s="210"/>
      <c r="D3" s="210"/>
      <c r="E3" s="210"/>
      <c r="F3" s="210"/>
    </row>
    <row r="5" spans="2:6" x14ac:dyDescent="0.3">
      <c r="B5" s="123"/>
      <c r="C5" s="26" t="s">
        <v>251</v>
      </c>
      <c r="D5" s="26" t="s">
        <v>252</v>
      </c>
      <c r="E5" s="26" t="s">
        <v>253</v>
      </c>
      <c r="F5" s="26" t="s">
        <v>254</v>
      </c>
    </row>
    <row r="6" spans="2:6" x14ac:dyDescent="0.3">
      <c r="B6" s="123" t="s">
        <v>171</v>
      </c>
      <c r="C6" s="26">
        <v>7308054804</v>
      </c>
      <c r="D6" s="26">
        <v>7308054804</v>
      </c>
      <c r="E6" s="26">
        <f>C6-D6</f>
        <v>0</v>
      </c>
      <c r="F6" s="26">
        <v>761414162</v>
      </c>
    </row>
    <row r="7" spans="2:6" x14ac:dyDescent="0.3">
      <c r="B7" s="123" t="s">
        <v>172</v>
      </c>
      <c r="C7" s="26">
        <v>6282103609</v>
      </c>
      <c r="D7" s="26">
        <v>6520775344</v>
      </c>
      <c r="E7" s="26">
        <f t="shared" ref="E7:E20" si="0">C7-D7</f>
        <v>-238671735</v>
      </c>
      <c r="F7" s="26">
        <v>210444152</v>
      </c>
    </row>
    <row r="8" spans="2:6" x14ac:dyDescent="0.3">
      <c r="B8" s="123" t="s">
        <v>173</v>
      </c>
      <c r="C8" s="26">
        <v>6591337939</v>
      </c>
      <c r="D8" s="26">
        <v>6282103609</v>
      </c>
      <c r="E8" s="26">
        <f t="shared" si="0"/>
        <v>309234330</v>
      </c>
      <c r="F8" s="26">
        <v>672959947</v>
      </c>
    </row>
    <row r="9" spans="2:6" x14ac:dyDescent="0.3">
      <c r="B9" s="123" t="s">
        <v>174</v>
      </c>
      <c r="C9" s="26">
        <v>11774503656</v>
      </c>
      <c r="D9" s="26">
        <v>11358520715</v>
      </c>
      <c r="E9" s="26">
        <f t="shared" si="0"/>
        <v>415982941</v>
      </c>
      <c r="F9" s="26">
        <v>730816338</v>
      </c>
    </row>
    <row r="10" spans="2:6" x14ac:dyDescent="0.3">
      <c r="B10" s="123" t="s">
        <v>175</v>
      </c>
      <c r="C10" s="26">
        <v>10789963993</v>
      </c>
      <c r="D10" s="26">
        <v>10665363070</v>
      </c>
      <c r="E10" s="26">
        <f t="shared" si="0"/>
        <v>124600923</v>
      </c>
      <c r="F10" s="26">
        <v>1026836497</v>
      </c>
    </row>
    <row r="11" spans="2:6" x14ac:dyDescent="0.3">
      <c r="B11" s="123" t="s">
        <v>176</v>
      </c>
      <c r="C11" s="26">
        <v>9080734116</v>
      </c>
      <c r="D11" s="26">
        <v>9080734116</v>
      </c>
      <c r="E11" s="26">
        <f t="shared" si="0"/>
        <v>0</v>
      </c>
      <c r="F11" s="26">
        <v>614464354</v>
      </c>
    </row>
    <row r="12" spans="2:6" x14ac:dyDescent="0.3">
      <c r="B12" s="123" t="s">
        <v>177</v>
      </c>
      <c r="C12" s="26">
        <v>8868946350</v>
      </c>
      <c r="D12" s="26">
        <v>8660567940</v>
      </c>
      <c r="E12" s="26">
        <f t="shared" si="0"/>
        <v>208378410</v>
      </c>
      <c r="F12" s="26">
        <v>929624688</v>
      </c>
    </row>
    <row r="13" spans="2:6" x14ac:dyDescent="0.3">
      <c r="B13" s="123" t="s">
        <v>178</v>
      </c>
      <c r="C13" s="26">
        <v>9323281885</v>
      </c>
      <c r="D13" s="26">
        <v>9219743804</v>
      </c>
      <c r="E13" s="26">
        <f t="shared" si="0"/>
        <v>103538081</v>
      </c>
      <c r="F13" s="26">
        <v>356166185</v>
      </c>
    </row>
    <row r="14" spans="2:6" x14ac:dyDescent="0.3">
      <c r="B14" s="123" t="s">
        <v>179</v>
      </c>
      <c r="C14" s="26">
        <v>11318250581</v>
      </c>
      <c r="D14" s="26">
        <v>11182100519</v>
      </c>
      <c r="E14" s="26">
        <f t="shared" si="0"/>
        <v>136150062</v>
      </c>
      <c r="F14" s="26">
        <v>790182882</v>
      </c>
    </row>
    <row r="15" spans="2:6" x14ac:dyDescent="0.3">
      <c r="B15" s="123" t="s">
        <v>180</v>
      </c>
      <c r="C15" s="26">
        <v>10051976390</v>
      </c>
      <c r="D15" s="26">
        <v>10051976390</v>
      </c>
      <c r="E15" s="26">
        <f t="shared" si="0"/>
        <v>0</v>
      </c>
      <c r="F15" s="26">
        <v>605264573</v>
      </c>
    </row>
    <row r="16" spans="2:6" x14ac:dyDescent="0.3">
      <c r="B16" s="123" t="s">
        <v>181</v>
      </c>
      <c r="C16" s="26">
        <v>9577542254</v>
      </c>
      <c r="D16" s="26">
        <v>9056610489</v>
      </c>
      <c r="E16" s="26">
        <f t="shared" si="0"/>
        <v>520931765</v>
      </c>
      <c r="F16" s="26">
        <v>794992518</v>
      </c>
    </row>
    <row r="17" spans="2:6" x14ac:dyDescent="0.3">
      <c r="B17" s="123" t="s">
        <v>182</v>
      </c>
      <c r="C17" s="26">
        <v>9353101843</v>
      </c>
      <c r="D17" s="26">
        <v>9172505461</v>
      </c>
      <c r="E17" s="26">
        <f t="shared" si="0"/>
        <v>180596382</v>
      </c>
      <c r="F17" s="26">
        <v>394090373</v>
      </c>
    </row>
    <row r="18" spans="2:6" x14ac:dyDescent="0.3">
      <c r="B18" s="123" t="s">
        <v>183</v>
      </c>
      <c r="C18" s="26">
        <v>12120321367</v>
      </c>
      <c r="D18" s="26">
        <v>12120321367</v>
      </c>
      <c r="E18" s="26">
        <f t="shared" si="0"/>
        <v>0</v>
      </c>
      <c r="F18" s="26">
        <v>828486646</v>
      </c>
    </row>
    <row r="19" spans="2:6" x14ac:dyDescent="0.3">
      <c r="B19" s="123" t="s">
        <v>184</v>
      </c>
      <c r="C19" s="26">
        <v>12895506915</v>
      </c>
      <c r="D19" s="26">
        <v>12401600835</v>
      </c>
      <c r="E19" s="26">
        <f t="shared" si="0"/>
        <v>493906080</v>
      </c>
      <c r="F19" s="26">
        <v>847890757</v>
      </c>
    </row>
    <row r="20" spans="2:6" x14ac:dyDescent="0.3">
      <c r="B20" s="123" t="s">
        <v>185</v>
      </c>
      <c r="C20" s="26">
        <v>8462343413</v>
      </c>
      <c r="D20" s="26">
        <v>8204189093</v>
      </c>
      <c r="E20" s="26">
        <f t="shared" si="0"/>
        <v>258154320</v>
      </c>
      <c r="F20" s="26">
        <v>635415159</v>
      </c>
    </row>
    <row r="21" spans="2:6" x14ac:dyDescent="0.3">
      <c r="B21" s="123"/>
      <c r="C21" s="24">
        <f>SUM(C6:C20)</f>
        <v>143797969115</v>
      </c>
      <c r="D21" s="24">
        <f>SUM(D6:D20)</f>
        <v>141285167556</v>
      </c>
      <c r="E21" s="24">
        <f>SUM(E6:E20)</f>
        <v>2512801559</v>
      </c>
      <c r="F21" s="24">
        <f>SUM(F6:F20)</f>
        <v>10199049231</v>
      </c>
    </row>
  </sheetData>
  <mergeCells count="1">
    <mergeCell ref="B3:F3"/>
  </mergeCells>
  <printOptions horizontalCentered="1"/>
  <pageMargins left="0.11811023622047245" right="0.11811023622047245" top="0.55118110236220474" bottom="0.55118110236220474" header="0.31496062992125984" footer="0.31496062992125984"/>
  <pageSetup paperSize="9" scale="8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bieu 12 (PL05)</vt:lpstr>
      <vt:lpstr>bieu 19 (PL 06)</vt:lpstr>
      <vt:lpstr>bieu 13( PL 07)</vt:lpstr>
      <vt:lpstr>bieu 14(PL08)</vt:lpstr>
      <vt:lpstr>bieu 17(09)</vt:lpstr>
      <vt:lpstr>bieu tong thu(PL10)</vt:lpstr>
      <vt:lpstr>bieu xa (PL11)</vt:lpstr>
      <vt:lpstr>Sheet1</vt:lpstr>
      <vt:lpstr>'bieu 14(PL08)'!Print_Area</vt:lpstr>
      <vt:lpstr>'bieu tong thu(PL10)'!Print_Area</vt:lpstr>
      <vt:lpstr>'bieu 12 (PL05)'!Print_Titles</vt:lpstr>
      <vt:lpstr>'bieu 13( PL 07)'!Print_Titles</vt:lpstr>
      <vt:lpstr>'bieu 14(PL08)'!Print_Titles</vt:lpstr>
      <vt:lpstr>'bieu 17(09)'!Print_Titles</vt:lpstr>
      <vt:lpstr>'bieu 19 (PL 06)'!Print_Titles</vt:lpstr>
    </vt:vector>
  </TitlesOfParts>
  <Company>Ministry of Finance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Dinh Xuan Ha</dc:creator>
  <cp:lastModifiedBy>andongnhi</cp:lastModifiedBy>
  <cp:lastPrinted>2024-12-01T06:25:35Z</cp:lastPrinted>
  <dcterms:created xsi:type="dcterms:W3CDTF">2002-06-06T06:34:24Z</dcterms:created>
  <dcterms:modified xsi:type="dcterms:W3CDTF">2024-12-01T06:26:34Z</dcterms:modified>
</cp:coreProperties>
</file>